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tabRatio="947" firstSheet="1" activeTab="22"/>
  </bookViews>
  <sheets>
    <sheet name="สรุป" sheetId="1" state="hidden" r:id="rId1"/>
    <sheet name="รวมงบยุทธ 5" sheetId="182" r:id="rId2"/>
    <sheet name="1-บริหาร(1)" sheetId="4" state="hidden" r:id="rId3"/>
    <sheet name="2-พยส(1)" sheetId="6" state="hidden" r:id="rId4"/>
    <sheet name="3-ทรัพฯ(1)" sheetId="11" state="hidden" r:id="rId5"/>
    <sheet name="4-นิติการ(1)" sheetId="13" state="hidden" r:id="rId6"/>
    <sheet name="5-คุ้มครอง(1)" sheetId="37" state="hidden" r:id="rId7"/>
    <sheet name="6-คุณภาพ(1)" sheetId="8" state="hidden" r:id="rId8"/>
    <sheet name="7-ประกัน(1)" sheetId="14" state="hidden" r:id="rId9"/>
    <sheet name="8-ควบคุมโรค(1)" sheetId="21" state="hidden" r:id="rId10"/>
    <sheet name="9-ส่งเสริม(1)" sheetId="20" state="hidden" r:id="rId11"/>
    <sheet name="10-ทันตฯ(1)" sheetId="9" state="hidden" r:id="rId12"/>
    <sheet name="11-อน(1)" sheetId="19" state="hidden" r:id="rId13"/>
    <sheet name="12-NCD(1)" sheetId="15" state="hidden" r:id="rId14"/>
    <sheet name="13-แผนไทย(1)" sheetId="25" state="hidden" r:id="rId15"/>
    <sheet name="14-ตรวจสอบภายใน(1)" sheetId="5" state="hidden" r:id="rId16"/>
    <sheet name="สรุป (2)" sheetId="3" state="hidden" r:id="rId17"/>
    <sheet name="36 ย5ก13 ช้อม1669" sheetId="214" r:id="rId18"/>
    <sheet name="37ย5ก13ช้อมEOC" sheetId="215" r:id="rId19"/>
    <sheet name="38ย5ก14คร.เข้มแข็ง-เสร็จ" sheetId="216" r:id="rId20"/>
    <sheet name="39ย5ก14TB" sheetId="217" r:id="rId21"/>
    <sheet name="40ย5ก14วัคีนโควิด(เสร็จ)" sheetId="218" r:id="rId22"/>
    <sheet name="41ย5ก15สุขศึษารพ" sheetId="213" r:id="rId23"/>
  </sheets>
  <definedNames>
    <definedName name="_xlnm._FilterDatabase" localSheetId="6" hidden="1">'5-คุ้มครอง(1)'!$A$4:$W$6</definedName>
    <definedName name="OLE_LINK1" localSheetId="3">'2-พยส(1)'!$A$26</definedName>
    <definedName name="_xlnm.Print_Area" localSheetId="11">'10-ทันตฯ(1)'!$A$1:$U$26</definedName>
    <definedName name="_xlnm.Print_Area" localSheetId="13">'12-NCD(1)'!$A$1:$U$279</definedName>
    <definedName name="_xlnm.Print_Area" localSheetId="14">'13-แผนไทย(1)'!$A$1:$U$61</definedName>
    <definedName name="_xlnm.Print_Area" localSheetId="15">'14-ตรวจสอบภายใน(1)'!$A$1:$U$9</definedName>
    <definedName name="_xlnm.Print_Area" localSheetId="2">'1-บริหาร(1)'!$A$1:$U$41</definedName>
    <definedName name="_xlnm.Print_Area" localSheetId="3">'2-พยส(1)'!$A$1:$U$48</definedName>
    <definedName name="_xlnm.Print_Area" localSheetId="4">'3-ทรัพฯ(1)'!$A$1:$U$19</definedName>
    <definedName name="_xlnm.Print_Area" localSheetId="21">'40ย5ก14วัคีนโควิด(เสร็จ)'!$A$1:$U$12</definedName>
    <definedName name="_xlnm.Print_Area" localSheetId="22">'41ย5ก15สุขศึษารพ'!$A$1:$U$8</definedName>
    <definedName name="_xlnm.Print_Area" localSheetId="5">'4-นิติการ(1)'!$A$1:$U$53</definedName>
    <definedName name="_xlnm.Print_Area" localSheetId="6">'5-คุ้มครอง(1)'!$A$1:$U$102</definedName>
    <definedName name="_xlnm.Print_Area" localSheetId="7">'6-คุณภาพ(1)'!$A$1:$U$89</definedName>
    <definedName name="_xlnm.Print_Area" localSheetId="8">'7-ประกัน(1)'!$A$1:$U$66</definedName>
    <definedName name="_xlnm.Print_Area" localSheetId="9">'8-ควบคุมโรค(1)'!$A$1:$U$123</definedName>
    <definedName name="_xlnm.Print_Area" localSheetId="10">'9-ส่งเสริม(1)'!$A$1:$U$31</definedName>
    <definedName name="_xlnm.Print_Area" localSheetId="1">'รวมงบยุทธ 5'!$A$1:$M$11</definedName>
    <definedName name="_xlnm.Print_Area" localSheetId="0">สรุป!$A$1:$AI$18</definedName>
    <definedName name="_xlnm.Print_Titles" localSheetId="11">'10-ทันตฯ(1)'!$4:$6</definedName>
    <definedName name="_xlnm.Print_Titles" localSheetId="12">'11-อน(1)'!$4:$6</definedName>
    <definedName name="_xlnm.Print_Titles" localSheetId="13">'12-NCD(1)'!$4:$6</definedName>
    <definedName name="_xlnm.Print_Titles" localSheetId="14">'13-แผนไทย(1)'!$4:$6</definedName>
    <definedName name="_xlnm.Print_Titles" localSheetId="15">'14-ตรวจสอบภายใน(1)'!$3:$5</definedName>
    <definedName name="_xlnm.Print_Titles" localSheetId="2">'1-บริหาร(1)'!$4:$6</definedName>
    <definedName name="_xlnm.Print_Titles" localSheetId="3">'2-พยส(1)'!$3:$5</definedName>
    <definedName name="_xlnm.Print_Titles" localSheetId="17">'36 ย5ก13 ช้อม1669'!$5:$6</definedName>
    <definedName name="_xlnm.Print_Titles" localSheetId="18">'37ย5ก13ช้อมEOC'!$5:$6</definedName>
    <definedName name="_xlnm.Print_Titles" localSheetId="19">'38ย5ก14คร.เข้มแข็ง-เสร็จ'!$5:$6</definedName>
    <definedName name="_xlnm.Print_Titles" localSheetId="20">'39ย5ก14TB'!$5:$6</definedName>
    <definedName name="_xlnm.Print_Titles" localSheetId="4">'3-ทรัพฯ(1)'!$1:$5</definedName>
    <definedName name="_xlnm.Print_Titles" localSheetId="21">'40ย5ก14วัคีนโควิด(เสร็จ)'!$5:$6</definedName>
    <definedName name="_xlnm.Print_Titles" localSheetId="22">'41ย5ก15สุขศึษารพ'!$5:$6</definedName>
    <definedName name="_xlnm.Print_Titles" localSheetId="5">'4-นิติการ(1)'!$3:$5</definedName>
    <definedName name="_xlnm.Print_Titles" localSheetId="6">'5-คุ้มครอง(1)'!$4:$6</definedName>
    <definedName name="_xlnm.Print_Titles" localSheetId="7">'6-คุณภาพ(1)'!$4:$6</definedName>
    <definedName name="_xlnm.Print_Titles" localSheetId="8">'7-ประกัน(1)'!$3:$5</definedName>
    <definedName name="_xlnm.Print_Titles" localSheetId="9">'8-ควบคุมโรค(1)'!$4:$6</definedName>
    <definedName name="_xlnm.Print_Titles" localSheetId="10">'9-ส่งเสริม(1)'!$4:$6</definedName>
    <definedName name="_xlnm.Print_Titles" localSheetId="1">'รวมงบยุทธ 5'!$2:$3</definedName>
    <definedName name="_xlnm.Print_Titles" localSheetId="0">สรุป!$A:$B,สรุป!$2:$3</definedName>
    <definedName name="_xlnm.Print_Titles" localSheetId="16">'สรุป (2)'!$A:$B</definedName>
  </definedNames>
  <calcPr calcId="144525"/>
</workbook>
</file>

<file path=xl/calcChain.xml><?xml version="1.0" encoding="utf-8"?>
<calcChain xmlns="http://schemas.openxmlformats.org/spreadsheetml/2006/main">
  <c r="F12" i="218" l="1"/>
  <c r="F11" i="216" l="1"/>
  <c r="F15" i="216"/>
  <c r="F17" i="216"/>
  <c r="F19" i="216"/>
  <c r="F33" i="216" s="1"/>
  <c r="F55" i="216" s="1"/>
  <c r="F23" i="216"/>
  <c r="F32" i="216"/>
  <c r="F36" i="216"/>
  <c r="F38" i="216"/>
  <c r="F40" i="216"/>
  <c r="F41" i="216"/>
  <c r="F47" i="216"/>
  <c r="F50" i="216"/>
  <c r="F53" i="216"/>
  <c r="F54" i="216"/>
  <c r="I55" i="216"/>
  <c r="J55" i="216"/>
  <c r="K55" i="216"/>
  <c r="L55" i="216"/>
  <c r="M55" i="216"/>
  <c r="N55" i="216"/>
  <c r="O55" i="216"/>
  <c r="P55" i="216"/>
  <c r="Q55" i="216"/>
  <c r="R55" i="216"/>
  <c r="S55" i="216"/>
  <c r="T55" i="216"/>
  <c r="N12" i="218" l="1"/>
  <c r="M12" i="218"/>
  <c r="L12" i="218"/>
  <c r="K12" i="218"/>
  <c r="J11" i="182" l="1"/>
  <c r="J12" i="218"/>
  <c r="N10" i="218"/>
  <c r="M10" i="218"/>
  <c r="L10" i="218"/>
  <c r="K10" i="218"/>
  <c r="J10" i="218"/>
  <c r="I10" i="218"/>
  <c r="I12" i="218" s="1"/>
  <c r="M9" i="182" s="1"/>
  <c r="W10" i="218"/>
  <c r="F10" i="218" l="1"/>
  <c r="H10" i="182"/>
  <c r="M10" i="182" s="1"/>
  <c r="J29" i="217"/>
  <c r="K29" i="217"/>
  <c r="L29" i="217"/>
  <c r="M29" i="217"/>
  <c r="N29" i="217"/>
  <c r="O29" i="217"/>
  <c r="P29" i="217"/>
  <c r="Q29" i="217"/>
  <c r="R29" i="217"/>
  <c r="S29" i="217"/>
  <c r="T29" i="217"/>
  <c r="I29" i="217"/>
  <c r="F10" i="217"/>
  <c r="F9" i="217"/>
  <c r="T20" i="215"/>
  <c r="R20" i="215"/>
  <c r="Q20" i="215"/>
  <c r="O20" i="215"/>
  <c r="N20" i="215"/>
  <c r="K20" i="215"/>
  <c r="I20" i="215"/>
  <c r="F18" i="215"/>
  <c r="F17" i="215"/>
  <c r="F16" i="215"/>
  <c r="F19" i="215" s="1"/>
  <c r="F15" i="215"/>
  <c r="F13" i="215"/>
  <c r="F12" i="215"/>
  <c r="F11" i="215"/>
  <c r="F10" i="215"/>
  <c r="F9" i="215"/>
  <c r="F7" i="215"/>
  <c r="F8" i="215" s="1"/>
  <c r="T11" i="214"/>
  <c r="S11" i="214"/>
  <c r="R11" i="214"/>
  <c r="Q11" i="214"/>
  <c r="P11" i="214"/>
  <c r="O11" i="214"/>
  <c r="N11" i="214"/>
  <c r="M11" i="214"/>
  <c r="L11" i="214"/>
  <c r="J11" i="214"/>
  <c r="I11" i="214"/>
  <c r="F9" i="214"/>
  <c r="F8" i="214"/>
  <c r="F11" i="214" s="1"/>
  <c r="K7" i="214" s="1"/>
  <c r="K11" i="214" s="1"/>
  <c r="F7" i="214"/>
  <c r="F29" i="217" l="1"/>
  <c r="S7" i="215"/>
  <c r="S20" i="215" s="1"/>
  <c r="M7" i="215"/>
  <c r="M20" i="215" s="1"/>
  <c r="P7" i="215"/>
  <c r="P20" i="215" s="1"/>
  <c r="J7" i="215"/>
  <c r="J20" i="215" s="1"/>
  <c r="F14" i="215"/>
  <c r="L9" i="215" s="1"/>
  <c r="G5" i="182"/>
  <c r="M5" i="182" s="1"/>
  <c r="F7" i="182"/>
  <c r="M7" i="182" s="1"/>
  <c r="H8" i="182"/>
  <c r="M8" i="182" s="1"/>
  <c r="F20" i="215"/>
  <c r="K6" i="182" s="1"/>
  <c r="M6" i="182" s="1"/>
  <c r="L15" i="215"/>
  <c r="L20" i="215" s="1"/>
  <c r="F7" i="213"/>
  <c r="H11" i="182" l="1"/>
  <c r="I11" i="182"/>
  <c r="G11" i="182"/>
  <c r="F11" i="182" l="1"/>
  <c r="L11" i="182"/>
  <c r="K11" i="182"/>
  <c r="Q11" i="1"/>
  <c r="Q18" i="1" s="1"/>
  <c r="D11" i="1"/>
  <c r="J11" i="1" s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 s="1"/>
  <c r="K102" i="37" s="1"/>
  <c r="F61" i="37"/>
  <c r="F54" i="37"/>
  <c r="F47" i="37"/>
  <c r="F39" i="37"/>
  <c r="F35" i="37"/>
  <c r="E107" i="37" s="1"/>
  <c r="AF8" i="1" s="1"/>
  <c r="F31" i="37"/>
  <c r="F39" i="4"/>
  <c r="F38" i="4"/>
  <c r="F37" i="4"/>
  <c r="F36" i="4"/>
  <c r="F35" i="4"/>
  <c r="F34" i="4"/>
  <c r="AJ18" i="1"/>
  <c r="F10" i="21"/>
  <c r="F60" i="8"/>
  <c r="F52" i="15"/>
  <c r="M6" i="1"/>
  <c r="T6" i="1" s="1"/>
  <c r="D6" i="1"/>
  <c r="J6" i="1" s="1"/>
  <c r="J9" i="1"/>
  <c r="J13" i="1"/>
  <c r="J15" i="1"/>
  <c r="J17" i="1"/>
  <c r="I16" i="1"/>
  <c r="J4" i="1"/>
  <c r="S18" i="1"/>
  <c r="T7" i="1"/>
  <c r="T8" i="1"/>
  <c r="T9" i="1"/>
  <c r="T10" i="1"/>
  <c r="T13" i="1"/>
  <c r="T14" i="1"/>
  <c r="T15" i="1"/>
  <c r="T16" i="1"/>
  <c r="T17" i="1"/>
  <c r="T4" i="1"/>
  <c r="P11" i="1"/>
  <c r="P18" i="1" s="1"/>
  <c r="C14" i="1"/>
  <c r="I14" i="1" s="1"/>
  <c r="L5" i="1"/>
  <c r="L18" i="1" s="1"/>
  <c r="T18" i="1" s="1"/>
  <c r="D5" i="1"/>
  <c r="J5" i="1" s="1"/>
  <c r="C7" i="1"/>
  <c r="I7" i="1" s="1"/>
  <c r="C5" i="1"/>
  <c r="C18" i="1" s="1"/>
  <c r="C10" i="1"/>
  <c r="F58" i="25"/>
  <c r="F51" i="25"/>
  <c r="F47" i="25"/>
  <c r="F38" i="25"/>
  <c r="F30" i="25"/>
  <c r="R27" i="25"/>
  <c r="M27" i="25"/>
  <c r="F27" i="25"/>
  <c r="F21" i="25"/>
  <c r="F17" i="25"/>
  <c r="F13" i="25"/>
  <c r="C6" i="1"/>
  <c r="C17" i="1"/>
  <c r="I17" i="1" s="1"/>
  <c r="O12" i="1"/>
  <c r="D12" i="1"/>
  <c r="J12" i="1" s="1"/>
  <c r="N12" i="1"/>
  <c r="T12" i="1" s="1"/>
  <c r="AC11" i="1"/>
  <c r="AB11" i="1"/>
  <c r="AB18" i="1" s="1"/>
  <c r="B131" i="21"/>
  <c r="F11" i="1" s="1"/>
  <c r="B130" i="21"/>
  <c r="G11" i="1" s="1"/>
  <c r="B129" i="21"/>
  <c r="F128" i="21"/>
  <c r="F127" i="21"/>
  <c r="F123" i="21"/>
  <c r="F12" i="21"/>
  <c r="C12" i="1"/>
  <c r="I12" i="1" s="1"/>
  <c r="C8" i="1"/>
  <c r="E8" i="1" s="1"/>
  <c r="K31" i="20"/>
  <c r="F30" i="20"/>
  <c r="F31" i="20" s="1"/>
  <c r="G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77" i="15"/>
  <c r="F270" i="15"/>
  <c r="F279" i="15" s="1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56" i="13"/>
  <c r="G7" i="1" s="1"/>
  <c r="T53" i="13"/>
  <c r="R53" i="13"/>
  <c r="P53" i="13"/>
  <c r="O53" i="13"/>
  <c r="M53" i="13"/>
  <c r="L53" i="13"/>
  <c r="I53" i="13"/>
  <c r="F33" i="13"/>
  <c r="F57" i="13" s="1"/>
  <c r="F7" i="1" s="1"/>
  <c r="H7" i="1" s="1"/>
  <c r="F28" i="13"/>
  <c r="F23" i="13"/>
  <c r="F9" i="13"/>
  <c r="I10" i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I6" i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/>
  <c r="S89" i="8"/>
  <c r="R89" i="8"/>
  <c r="Q89" i="8"/>
  <c r="P89" i="8"/>
  <c r="M89" i="8"/>
  <c r="L89" i="8"/>
  <c r="F88" i="8"/>
  <c r="F85" i="8"/>
  <c r="F77" i="8"/>
  <c r="F22" i="8"/>
  <c r="F21" i="8"/>
  <c r="F19" i="8"/>
  <c r="K19" i="8" s="1"/>
  <c r="F16" i="8"/>
  <c r="F18" i="8" s="1"/>
  <c r="O16" i="8" s="1"/>
  <c r="O89" i="8" s="1"/>
  <c r="F13" i="8"/>
  <c r="F12" i="8"/>
  <c r="F9" i="8"/>
  <c r="F8" i="8"/>
  <c r="F9" i="1"/>
  <c r="H9" i="1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3" i="6" s="1"/>
  <c r="F10" i="6"/>
  <c r="F9" i="6"/>
  <c r="F8" i="6"/>
  <c r="F7" i="6"/>
  <c r="F6" i="6"/>
  <c r="C9" i="1"/>
  <c r="I9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21" i="4"/>
  <c r="F18" i="4"/>
  <c r="F15" i="4"/>
  <c r="F8" i="4"/>
  <c r="F9" i="4" s="1"/>
  <c r="G5" i="3"/>
  <c r="K5" i="3" s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M18" i="3" s="1"/>
  <c r="N4" i="3"/>
  <c r="K4" i="3"/>
  <c r="H18" i="3"/>
  <c r="I18" i="3"/>
  <c r="J18" i="3"/>
  <c r="G18" i="3"/>
  <c r="D18" i="3"/>
  <c r="E18" i="3"/>
  <c r="F18" i="3"/>
  <c r="C18" i="3"/>
  <c r="AH18" i="1"/>
  <c r="AI5" i="1"/>
  <c r="AI6" i="1"/>
  <c r="AI7" i="1"/>
  <c r="AI9" i="1"/>
  <c r="AI12" i="1"/>
  <c r="AI13" i="1"/>
  <c r="AI15" i="1"/>
  <c r="AI16" i="1"/>
  <c r="AI17" i="1"/>
  <c r="AI4" i="1"/>
  <c r="AG18" i="1"/>
  <c r="D16" i="1"/>
  <c r="E16" i="1" s="1"/>
  <c r="AC18" i="1"/>
  <c r="Z18" i="1"/>
  <c r="U18" i="1"/>
  <c r="E15" i="1"/>
  <c r="E13" i="1"/>
  <c r="E10" i="1"/>
  <c r="E9" i="1"/>
  <c r="E6" i="1"/>
  <c r="E4" i="1"/>
  <c r="E17" i="1" l="1"/>
  <c r="D18" i="1"/>
  <c r="F24" i="8"/>
  <c r="N21" i="8" s="1"/>
  <c r="N89" i="8" s="1"/>
  <c r="F27" i="15"/>
  <c r="F163" i="15"/>
  <c r="M11" i="182"/>
  <c r="F33" i="4"/>
  <c r="E12" i="1"/>
  <c r="N18" i="3"/>
  <c r="F20" i="8"/>
  <c r="F62" i="37"/>
  <c r="F80" i="37"/>
  <c r="E5" i="1"/>
  <c r="E18" i="1" s="1"/>
  <c r="S30" i="4"/>
  <c r="S41" i="4" s="1"/>
  <c r="F18" i="14"/>
  <c r="F33" i="14"/>
  <c r="F38" i="14" s="1"/>
  <c r="F70" i="14" s="1"/>
  <c r="F37" i="14"/>
  <c r="F37" i="19"/>
  <c r="AD14" i="1" s="1"/>
  <c r="I5" i="1"/>
  <c r="I21" i="8"/>
  <c r="I89" i="8" s="1"/>
  <c r="K18" i="3"/>
  <c r="E14" i="1"/>
  <c r="L18" i="3"/>
  <c r="F56" i="14"/>
  <c r="F65" i="14"/>
  <c r="F10" i="20"/>
  <c r="F26" i="20" s="1"/>
  <c r="F12" i="1" s="1"/>
  <c r="H12" i="1" s="1"/>
  <c r="K12" i="1" s="1"/>
  <c r="F19" i="11"/>
  <c r="F6" i="1" s="1"/>
  <c r="H6" i="1" s="1"/>
  <c r="K6" i="1" s="1"/>
  <c r="F26" i="19"/>
  <c r="F14" i="1" s="1"/>
  <c r="AA11" i="1"/>
  <c r="AA18" i="1" s="1"/>
  <c r="F36" i="6"/>
  <c r="F48" i="6" s="1"/>
  <c r="F5" i="1" s="1"/>
  <c r="H5" i="1" s="1"/>
  <c r="K5" i="1" s="1"/>
  <c r="K9" i="1"/>
  <c r="B132" i="21"/>
  <c r="E106" i="37"/>
  <c r="G8" i="1" s="1"/>
  <c r="J8" i="1" s="1"/>
  <c r="F44" i="14"/>
  <c r="F48" i="14"/>
  <c r="F125" i="15"/>
  <c r="F265" i="15"/>
  <c r="T11" i="1"/>
  <c r="F126" i="21"/>
  <c r="F129" i="21" s="1"/>
  <c r="F40" i="4"/>
  <c r="F41" i="4" s="1"/>
  <c r="F4" i="1" s="1"/>
  <c r="F102" i="37"/>
  <c r="G14" i="1"/>
  <c r="J14" i="1" s="1"/>
  <c r="K28" i="6"/>
  <c r="K48" i="6" s="1"/>
  <c r="E11" i="1"/>
  <c r="H13" i="1"/>
  <c r="K13" i="1" s="1"/>
  <c r="F8" i="5"/>
  <c r="F9" i="5" s="1"/>
  <c r="F17" i="1" s="1"/>
  <c r="H17" i="1" s="1"/>
  <c r="K17" i="1" s="1"/>
  <c r="F15" i="8"/>
  <c r="K12" i="8" s="1"/>
  <c r="K89" i="8" s="1"/>
  <c r="F104" i="21"/>
  <c r="F61" i="25"/>
  <c r="G16" i="1" s="1"/>
  <c r="J16" i="1" s="1"/>
  <c r="T5" i="1"/>
  <c r="E105" i="37"/>
  <c r="F8" i="1" s="1"/>
  <c r="E7" i="1"/>
  <c r="K7" i="1" s="1"/>
  <c r="F11" i="8"/>
  <c r="J8" i="8" s="1"/>
  <c r="J89" i="8" s="1"/>
  <c r="F69" i="14"/>
  <c r="J18" i="1"/>
  <c r="AE8" i="1"/>
  <c r="AI8" i="1" s="1"/>
  <c r="H11" i="1"/>
  <c r="I11" i="1"/>
  <c r="J7" i="1"/>
  <c r="F48" i="37"/>
  <c r="F281" i="15" l="1"/>
  <c r="F283" i="15" s="1"/>
  <c r="F15" i="1"/>
  <c r="H15" i="1" s="1"/>
  <c r="K15" i="1" s="1"/>
  <c r="F71" i="14"/>
  <c r="F10" i="1" s="1"/>
  <c r="AI11" i="1"/>
  <c r="G10" i="1"/>
  <c r="J10" i="1" s="1"/>
  <c r="Y10" i="1"/>
  <c r="AI10" i="1" s="1"/>
  <c r="F72" i="14"/>
  <c r="F66" i="14"/>
  <c r="H14" i="1"/>
  <c r="K14" i="1" s="1"/>
  <c r="E108" i="37"/>
  <c r="L34" i="4"/>
  <c r="L41" i="4" s="1"/>
  <c r="H16" i="1"/>
  <c r="K16" i="1" s="1"/>
  <c r="I4" i="1"/>
  <c r="I18" i="1" s="1"/>
  <c r="H4" i="1"/>
  <c r="K4" i="1" s="1"/>
  <c r="K18" i="1" s="1"/>
  <c r="AD18" i="1"/>
  <c r="AI14" i="1"/>
  <c r="H8" i="1"/>
  <c r="K8" i="1" s="1"/>
  <c r="I15" i="1"/>
  <c r="K11" i="1"/>
  <c r="F18" i="1" l="1"/>
  <c r="AI18" i="1"/>
  <c r="G18" i="1"/>
  <c r="H10" i="1"/>
  <c r="H18" i="1" s="1"/>
  <c r="K10" i="1" l="1"/>
</calcChain>
</file>

<file path=xl/comments1.xml><?xml version="1.0" encoding="utf-8"?>
<comments xmlns="http://schemas.openxmlformats.org/spreadsheetml/2006/main">
  <authors>
    <author>SOR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<sst xmlns="http://schemas.openxmlformats.org/spreadsheetml/2006/main" count="2956" uniqueCount="1778">
  <si>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</si>
  <si>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</si>
  <si>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</si>
  <si>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</si>
  <si>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</si>
  <si>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</si>
  <si>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</si>
  <si>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</si>
  <si>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</si>
  <si>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</si>
  <si>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</si>
  <si>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</si>
  <si>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</si>
  <si>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</si>
  <si>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</si>
  <si>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</si>
  <si>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</si>
  <si>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</si>
  <si>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</si>
  <si>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</si>
  <si>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</si>
  <si>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</si>
  <si>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</si>
  <si>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</si>
  <si>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</si>
  <si>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</si>
  <si>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</si>
  <si>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</si>
  <si>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</si>
  <si>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</si>
  <si>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</si>
  <si>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</si>
  <si>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</si>
  <si>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</si>
  <si>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</si>
  <si>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</si>
  <si>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</si>
  <si>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</si>
  <si>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</si>
  <si>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</si>
  <si>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</si>
  <si>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</si>
  <si>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</si>
  <si>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</si>
  <si>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</si>
  <si>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</si>
  <si>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</si>
  <si>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</si>
  <si>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</si>
  <si>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</si>
  <si>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</si>
  <si>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</si>
  <si>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</si>
  <si>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</si>
  <si>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</si>
  <si>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</si>
  <si>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</si>
  <si>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</si>
  <si>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</si>
  <si>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</si>
  <si>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</si>
  <si>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</si>
  <si>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</si>
  <si>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</si>
  <si>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</si>
  <si>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</si>
  <si>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</si>
  <si>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</si>
  <si>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</si>
  <si>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</si>
  <si>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</si>
  <si>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</si>
  <si>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</si>
  <si>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</si>
  <si>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</si>
  <si>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</si>
  <si>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</si>
  <si>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</si>
  <si>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</si>
  <si>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</si>
  <si>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</si>
  <si>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</si>
  <si>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</si>
  <si>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</si>
  <si>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</si>
  <si>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</si>
  <si>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</si>
  <si>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</si>
  <si>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</si>
  <si>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</si>
  <si>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</si>
  <si>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</si>
  <si>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</si>
  <si>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</si>
  <si>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</si>
  <si>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</si>
  <si>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</si>
  <si>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</si>
  <si>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</si>
  <si>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</si>
  <si>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</si>
  <si>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</si>
  <si>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</si>
  <si>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</si>
  <si>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</si>
  <si>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</si>
  <si>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</si>
  <si>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</si>
  <si>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</si>
  <si>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</si>
  <si>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</si>
  <si>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</si>
  <si>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</si>
  <si>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</si>
  <si>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</si>
  <si>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</si>
  <si>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</si>
  <si>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</si>
  <si>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</si>
  <si>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</si>
  <si>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</si>
  <si>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</si>
  <si>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</si>
  <si>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</si>
  <si>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</si>
  <si>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</si>
  <si>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</si>
  <si>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</si>
  <si>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</si>
  <si>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</si>
  <si>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</si>
  <si>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</si>
  <si>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</si>
  <si>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</si>
  <si>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</si>
  <si>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</si>
  <si>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</si>
  <si>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</si>
  <si>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</si>
  <si>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</si>
  <si>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</si>
  <si>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</si>
  <si>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</si>
  <si>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</si>
  <si>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</si>
  <si>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</si>
  <si>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</si>
  <si>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</si>
  <si>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</si>
  <si>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</si>
  <si>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</si>
  <si>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</si>
  <si>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</si>
  <si>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</si>
  <si>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</si>
  <si>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</si>
  <si>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</si>
  <si>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</si>
  <si>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</si>
  <si>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</si>
  <si>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</si>
  <si>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</si>
  <si>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</si>
  <si>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</si>
  <si>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</si>
  <si>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</si>
  <si>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</si>
  <si>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</si>
  <si>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</si>
  <si>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</si>
  <si>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</si>
  <si>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</si>
  <si>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</si>
  <si>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</si>
  <si>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</si>
  <si>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</si>
  <si>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</si>
  <si>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</si>
  <si>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</si>
  <si>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</si>
  <si>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</si>
  <si>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</si>
  <si>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</si>
  <si>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</si>
  <si>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</si>
  <si>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</si>
  <si>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</si>
  <si>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</si>
  <si>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</si>
  <si>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</si>
  <si>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</si>
  <si>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</si>
  <si>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</si>
  <si>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</si>
  <si>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</si>
  <si>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</si>
  <si>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</si>
  <si>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</si>
  <si>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</si>
  <si>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</si>
  <si>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</si>
  <si>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</si>
  <si>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</si>
  <si>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</si>
  <si>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</si>
  <si>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</si>
  <si>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</si>
  <si>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</si>
  <si>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</si>
  <si>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</si>
  <si>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</si>
  <si>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</si>
  <si>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</si>
  <si>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</si>
  <si>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</si>
  <si>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</si>
  <si>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</si>
  <si>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</si>
  <si>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</si>
  <si>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</si>
  <si>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</si>
  <si>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</si>
  <si>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</si>
  <si>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</si>
  <si>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</si>
  <si>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</si>
  <si>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</si>
  <si>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</si>
  <si>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</si>
  <si>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</si>
  <si>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</si>
  <si>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</si>
  <si>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</si>
  <si>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</si>
  <si>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</si>
  <si>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</si>
  <si>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</si>
  <si>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</si>
  <si>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</si>
  <si>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</si>
  <si>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</si>
  <si>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</si>
  <si>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</si>
  <si>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</si>
  <si>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</si>
  <si>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</si>
  <si>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</si>
  <si>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</si>
  <si>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</si>
  <si>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</si>
  <si>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</si>
  <si>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</si>
  <si>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</si>
  <si>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</si>
  <si>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</si>
  <si>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</si>
  <si>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</si>
  <si>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</si>
  <si>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</si>
  <si>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</si>
  <si>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</si>
  <si>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</si>
  <si>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</si>
  <si>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</si>
  <si>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</si>
  <si>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</si>
  <si>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</si>
  <si>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</si>
  <si>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</si>
  <si>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</si>
  <si>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</si>
  <si>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</si>
  <si>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</si>
  <si>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</si>
  <si>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</si>
  <si>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</si>
  <si>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</si>
  <si>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</si>
  <si>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</si>
  <si>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</si>
  <si>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</si>
  <si>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</si>
  <si>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</si>
  <si>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</si>
  <si>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</si>
  <si>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</si>
  <si>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</si>
  <si>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</si>
  <si>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</si>
  <si>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</si>
  <si>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</si>
  <si>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</si>
  <si>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</si>
  <si>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</si>
  <si>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</si>
  <si>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</si>
  <si>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</si>
  <si>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</si>
  <si>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</si>
  <si>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</si>
  <si>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</si>
  <si>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</si>
  <si>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</si>
  <si>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</si>
  <si>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</si>
  <si>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</si>
  <si>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</si>
  <si>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</si>
  <si>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</si>
  <si>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</si>
  <si>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</si>
  <si>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</si>
  <si>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</si>
  <si>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</si>
  <si>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</si>
  <si>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</si>
  <si>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</si>
  <si>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</si>
  <si>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</si>
  <si>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</si>
  <si>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</si>
  <si>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</si>
  <si>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</si>
  <si>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</si>
  <si>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</si>
  <si>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</si>
  <si>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</si>
  <si>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</si>
  <si>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</si>
  <si>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</si>
  <si>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</si>
  <si>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</si>
  <si>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</si>
  <si>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</si>
  <si>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</si>
  <si>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</si>
  <si>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</si>
  <si>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</si>
  <si>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</si>
  <si>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</si>
  <si>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</si>
  <si>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</si>
  <si>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</si>
  <si>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</si>
  <si>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</si>
  <si>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</si>
  <si>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</si>
  <si>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</si>
  <si>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</si>
  <si>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</si>
  <si>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</si>
  <si>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</si>
  <si>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</si>
  <si>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</si>
  <si>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</si>
  <si>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</si>
  <si>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</si>
  <si>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</si>
  <si>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</si>
  <si>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</si>
  <si>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</si>
  <si>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</si>
  <si>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</si>
  <si>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</si>
  <si>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</si>
  <si>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</si>
  <si>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</si>
  <si>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</si>
  <si>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</si>
  <si>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</si>
  <si>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</si>
  <si>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</si>
  <si>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</si>
  <si>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</si>
  <si>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</si>
  <si>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</si>
  <si>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</si>
  <si>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</si>
  <si>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</si>
  <si>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</si>
  <si>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</si>
  <si>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</si>
  <si>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</si>
  <si>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</si>
  <si>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</si>
  <si>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</si>
  <si>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</si>
  <si>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</si>
  <si>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</si>
  <si>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</si>
  <si>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</si>
  <si>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</si>
  <si>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</si>
  <si>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</si>
  <si>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</si>
  <si>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</si>
  <si>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</si>
  <si>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</si>
  <si>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</si>
  <si>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</si>
  <si>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</si>
  <si>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</si>
  <si>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</si>
  <si>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</si>
  <si>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</si>
  <si>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</si>
  <si>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</si>
  <si>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</si>
  <si>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</si>
  <si>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</si>
  <si>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</si>
  <si>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</si>
  <si>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</si>
  <si>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</si>
  <si>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</si>
  <si>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</si>
  <si>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</si>
  <si>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</si>
  <si>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</si>
  <si>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</si>
  <si>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</si>
  <si>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</si>
  <si>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</si>
  <si>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</si>
  <si>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</si>
  <si>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</si>
  <si>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</si>
  <si>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</si>
  <si>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</si>
  <si>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</si>
  <si>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</si>
  <si>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</si>
  <si>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</si>
  <si>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</si>
  <si>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</si>
  <si>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</si>
  <si>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</si>
  <si>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</si>
  <si>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</si>
  <si>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</si>
  <si>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</si>
  <si>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</si>
  <si>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</si>
  <si>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</si>
  <si>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</si>
  <si>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</si>
  <si>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</si>
  <si>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</si>
  <si>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</si>
  <si>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</si>
  <si>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</si>
  <si>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</si>
  <si>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</si>
  <si>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</si>
  <si>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</si>
  <si>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</si>
  <si>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</si>
  <si>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</si>
  <si>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</si>
  <si>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</si>
  <si>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</si>
  <si>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</si>
  <si>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</si>
  <si>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</si>
  <si>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</si>
  <si>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</si>
  <si>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</si>
  <si>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</si>
  <si>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</si>
  <si>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</si>
  <si>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</si>
  <si>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</si>
  <si>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</si>
  <si>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</si>
  <si>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</si>
  <si>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</si>
  <si>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</si>
  <si>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</si>
  <si>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</si>
  <si>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</si>
  <si>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</si>
  <si>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</si>
  <si>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</si>
  <si>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</si>
  <si>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</si>
  <si>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</si>
  <si>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</si>
  <si>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</si>
  <si>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</si>
  <si>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</si>
  <si>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</si>
  <si>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</si>
  <si>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</si>
  <si>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</si>
  <si>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</si>
  <si>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</si>
  <si>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</si>
  <si>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</si>
  <si>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</si>
  <si>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</si>
  <si>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</si>
  <si>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</si>
  <si>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</si>
  <si>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</si>
  <si>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</si>
  <si>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</si>
  <si>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</si>
  <si>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</si>
  <si>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</si>
  <si>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</si>
  <si>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</si>
  <si>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</si>
  <si>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</si>
  <si>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</si>
  <si>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</si>
  <si>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</si>
  <si>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</si>
  <si>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</si>
  <si>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</si>
  <si>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</si>
  <si>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</si>
  <si>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</si>
  <si>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</si>
  <si>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</si>
  <si>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</si>
  <si>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</si>
  <si>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</si>
  <si>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</si>
  <si>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</si>
  <si>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</si>
  <si>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</si>
  <si>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</si>
  <si>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</si>
  <si>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</si>
  <si>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</si>
  <si>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</si>
  <si>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</si>
  <si>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</si>
  <si>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</si>
  <si>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</si>
  <si>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</si>
  <si>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</si>
  <si>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</si>
  <si>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</si>
  <si>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</si>
  <si>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</si>
  <si>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</si>
  <si>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</si>
  <si>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</si>
  <si>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</si>
  <si>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</si>
  <si>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</si>
  <si>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</si>
  <si>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</si>
  <si>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</si>
  <si>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</si>
  <si>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</si>
  <si>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</si>
  <si>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</si>
  <si>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</si>
  <si>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</si>
  <si>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</si>
  <si>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</si>
  <si>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</si>
  <si>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</si>
  <si>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</si>
  <si>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</si>
  <si>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</si>
  <si>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</si>
  <si>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</si>
  <si>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</si>
  <si>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</si>
  <si>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</si>
  <si>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</si>
  <si>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</si>
  <si>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</si>
  <si>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</si>
  <si>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</si>
  <si>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</si>
  <si>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</si>
  <si>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</si>
  <si>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</si>
  <si>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</si>
  <si>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</si>
  <si>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</si>
  <si>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</si>
  <si>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</si>
  <si>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</si>
  <si>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</si>
  <si>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</si>
  <si>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</si>
  <si>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</si>
  <si>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</si>
  <si>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</si>
  <si>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</si>
  <si>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</si>
  <si>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</si>
  <si>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</si>
  <si>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</si>
  <si>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</si>
  <si>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</si>
  <si>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</si>
  <si>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</si>
  <si>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</si>
  <si>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</si>
  <si>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</si>
  <si>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</si>
  <si>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</si>
  <si>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</si>
  <si>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</si>
  <si>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</si>
  <si>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</si>
  <si>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</si>
  <si>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</si>
  <si>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</si>
  <si>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</si>
  <si>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</si>
  <si>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</si>
  <si>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</si>
  <si>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</si>
  <si>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</si>
  <si>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</si>
  <si>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</si>
  <si>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</si>
  <si>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</si>
  <si>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</si>
  <si>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</si>
  <si>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</si>
  <si>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</si>
  <si>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</si>
  <si>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</si>
  <si>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</si>
  <si>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</si>
  <si>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</si>
  <si>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</si>
  <si>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</si>
  <si>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</si>
  <si>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</si>
  <si>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</si>
  <si>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</si>
  <si>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</si>
  <si>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</si>
  <si>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</si>
  <si>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</si>
  <si>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</si>
  <si>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</si>
  <si>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</si>
  <si>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</si>
  <si>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</si>
  <si>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</si>
  <si>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</si>
  <si>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</si>
  <si>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</si>
  <si>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</si>
  <si>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</si>
  <si>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</si>
  <si>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</si>
  <si>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</si>
  <si>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</si>
  <si>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</si>
  <si>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</si>
  <si>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</si>
  <si>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</si>
  <si>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</si>
  <si>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</si>
  <si>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</si>
  <si>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</si>
  <si>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</si>
  <si>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</si>
  <si>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</si>
  <si>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</si>
  <si>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</si>
  <si>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</si>
  <si>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</si>
  <si>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</si>
  <si>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</si>
  <si>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</si>
  <si>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</si>
  <si>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</si>
  <si>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</si>
  <si>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</si>
  <si>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</si>
  <si>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</si>
  <si>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</si>
  <si>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</si>
  <si>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</si>
  <si>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</si>
  <si>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</si>
  <si>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</si>
  <si>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</si>
  <si>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</si>
  <si>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</si>
  <si>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</si>
  <si>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</si>
  <si>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</si>
  <si>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</si>
  <si>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</si>
  <si>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</si>
  <si>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</si>
  <si>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</si>
  <si>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</si>
  <si>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</si>
  <si>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</si>
  <si>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</si>
  <si>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</si>
  <si>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</si>
  <si>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</si>
  <si>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</si>
  <si>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</si>
  <si>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</si>
  <si>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</si>
  <si>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</si>
  <si>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</si>
  <si>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</si>
  <si>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</si>
  <si>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</si>
  <si>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</si>
  <si>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</si>
  <si>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</si>
  <si>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</si>
  <si>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</si>
  <si>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</si>
  <si>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</si>
  <si>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</si>
  <si>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</si>
  <si>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</si>
  <si>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</si>
  <si>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</si>
  <si>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</si>
  <si>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</si>
  <si>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</si>
  <si>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</si>
  <si>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</si>
  <si>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</si>
  <si>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</si>
  <si>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</si>
  <si>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</si>
  <si>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</si>
  <si>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</si>
  <si>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</si>
  <si>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</si>
  <si>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</si>
  <si>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</si>
  <si>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</si>
  <si>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</si>
  <si>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</si>
  <si>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</si>
  <si>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</si>
  <si>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</si>
  <si>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</si>
  <si>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</si>
  <si>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</si>
  <si>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</si>
  <si>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</si>
  <si>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</si>
  <si>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</si>
  <si>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</si>
  <si>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</si>
  <si>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</si>
  <si>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</si>
  <si>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</si>
  <si>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</si>
  <si>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</si>
  <si>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</si>
  <si>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</si>
  <si>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</si>
  <si>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</si>
  <si>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</si>
  <si>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</si>
  <si>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</si>
  <si>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</si>
  <si>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</si>
  <si>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</si>
  <si>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</si>
  <si>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</si>
  <si>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</si>
  <si>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</si>
  <si>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</si>
  <si>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</si>
  <si>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</si>
  <si>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</si>
  <si>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</si>
  <si>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</si>
  <si>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</si>
  <si>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</si>
  <si>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</si>
  <si>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</si>
  <si>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</si>
  <si>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</si>
  <si>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</si>
  <si>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</si>
  <si>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</si>
  <si>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</si>
  <si>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</si>
  <si>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</si>
  <si>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</si>
  <si>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</si>
  <si>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</si>
  <si>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</si>
  <si>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</si>
  <si>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</si>
  <si>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</si>
  <si>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</si>
  <si>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</si>
  <si>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</si>
  <si>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</si>
  <si>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</si>
  <si>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</si>
  <si>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</si>
  <si>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</si>
  <si>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</si>
  <si>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</si>
  <si>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</si>
  <si>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</si>
  <si>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</si>
  <si>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</si>
  <si>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</si>
  <si>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</si>
  <si>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</si>
  <si>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</si>
  <si>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</si>
  <si>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</si>
  <si>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</si>
  <si>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</si>
  <si>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</si>
  <si>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</si>
  <si>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</si>
  <si>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</si>
  <si>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</si>
  <si>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</si>
  <si>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</si>
  <si>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</si>
  <si>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</si>
  <si>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</si>
  <si>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</si>
  <si>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</si>
  <si>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</si>
  <si>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</si>
  <si>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</si>
  <si>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</si>
  <si>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</si>
  <si>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</si>
  <si>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</si>
  <si>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</si>
  <si>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</si>
  <si>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</si>
  <si>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</si>
  <si>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</si>
  <si>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</si>
  <si>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</si>
  <si>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</si>
  <si>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</si>
  <si>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</si>
  <si>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</si>
  <si>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</si>
  <si>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</si>
  <si>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</si>
  <si>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</si>
  <si>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</si>
  <si>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</si>
  <si>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</si>
  <si>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</si>
  <si>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</si>
  <si>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</si>
  <si>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</si>
  <si>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</si>
  <si>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</si>
  <si>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</si>
  <si>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</si>
  <si>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</si>
  <si>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</si>
  <si>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</si>
  <si>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</si>
  <si>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</si>
  <si>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</si>
  <si>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</si>
  <si>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</si>
  <si>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</si>
  <si>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</si>
  <si>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</si>
  <si>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</si>
  <si>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</si>
  <si>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</si>
  <si>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</si>
  <si>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</si>
  <si>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</si>
  <si>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</si>
  <si>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</si>
  <si>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</si>
  <si>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</si>
  <si>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</si>
  <si>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</si>
  <si>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</si>
  <si>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</si>
  <si>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</si>
  <si>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</si>
  <si>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</si>
  <si>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</si>
  <si>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</si>
  <si>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</si>
  <si>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</si>
  <si>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</si>
  <si>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</si>
  <si>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</si>
  <si>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</si>
  <si>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</si>
  <si>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</si>
  <si>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</si>
  <si>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</si>
  <si>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</si>
  <si>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</si>
  <si>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</si>
  <si>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</si>
  <si>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</si>
  <si>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</si>
  <si>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</si>
  <si>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</si>
  <si>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</si>
  <si>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</si>
  <si>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</si>
  <si>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</si>
  <si>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</si>
  <si>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</si>
  <si>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</si>
  <si>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</si>
  <si>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</si>
  <si>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</si>
  <si>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</si>
  <si>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</si>
  <si>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</si>
  <si>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</si>
  <si>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</si>
  <si>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</si>
  <si>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</si>
  <si>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</si>
  <si>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</si>
  <si>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</si>
  <si>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</si>
  <si>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</si>
  <si>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</si>
  <si>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</si>
  <si>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</si>
  <si>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</si>
  <si>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</si>
  <si>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</si>
  <si>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</si>
  <si>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</si>
  <si>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</si>
  <si>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</si>
  <si>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</si>
  <si>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</si>
  <si>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</si>
  <si>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</si>
  <si>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</si>
  <si>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</si>
  <si>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</si>
  <si>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</si>
  <si>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</si>
  <si>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</si>
  <si>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</si>
  <si>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</si>
  <si>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</si>
  <si>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</si>
  <si>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</si>
  <si>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</si>
  <si>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</si>
  <si>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</si>
  <si>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</si>
  <si>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</si>
  <si>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</si>
  <si>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</si>
  <si>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</si>
  <si>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</si>
  <si>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</si>
  <si>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</si>
  <si>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</si>
  <si>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</si>
  <si>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</si>
  <si>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</si>
  <si>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</si>
  <si>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</si>
  <si>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</si>
  <si>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</si>
  <si>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</si>
  <si>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</si>
  <si>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</si>
  <si>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</si>
  <si>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</si>
  <si>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</si>
  <si>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</si>
  <si>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</si>
  <si>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</si>
  <si>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</si>
  <si>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</si>
  <si>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</si>
  <si>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</si>
  <si>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</si>
  <si>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</si>
  <si>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</si>
  <si>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</si>
  <si>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</si>
  <si>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</si>
  <si>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</si>
  <si>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</si>
  <si>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</si>
  <si>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</si>
  <si>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</si>
  <si>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</si>
  <si>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</si>
  <si>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</si>
  <si>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</si>
  <si>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</si>
  <si>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</si>
  <si>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</si>
  <si>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</si>
  <si>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</si>
  <si>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</si>
  <si>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</si>
  <si>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</si>
  <si>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</si>
  <si>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</si>
  <si>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</si>
  <si>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</si>
  <si>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</si>
  <si>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</si>
  <si>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</si>
  <si>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</si>
  <si>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</si>
  <si>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</si>
  <si>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</si>
  <si>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</si>
  <si>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</si>
  <si>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</si>
  <si>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</si>
  <si>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</si>
  <si>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</si>
  <si>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</si>
  <si>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</si>
  <si>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</si>
  <si>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</si>
  <si>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</si>
  <si>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</si>
  <si>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</si>
  <si>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</si>
  <si>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</si>
  <si>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</si>
  <si>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</si>
  <si>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</si>
  <si>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</si>
  <si>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</si>
  <si>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</si>
  <si>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</si>
  <si>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</si>
  <si>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</si>
  <si>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</si>
  <si>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</si>
  <si>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</si>
  <si>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</si>
  <si>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</si>
  <si>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</si>
  <si>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</si>
  <si>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</si>
  <si>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</si>
  <si>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</si>
  <si>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</si>
  <si>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</si>
  <si>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</si>
  <si>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</si>
  <si>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</si>
  <si>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</si>
  <si>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</si>
  <si>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</si>
  <si>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</si>
  <si>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</si>
  <si>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</si>
  <si>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</si>
  <si>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</si>
  <si>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</si>
  <si>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</si>
  <si>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</si>
  <si>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</si>
  <si>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</si>
  <si>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</si>
  <si>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</si>
  <si>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</si>
  <si>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</si>
  <si>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</si>
  <si>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</si>
  <si>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</si>
  <si>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</si>
  <si>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</si>
  <si>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</si>
  <si>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</si>
  <si>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</si>
  <si>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</si>
  <si>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</si>
  <si>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</si>
  <si>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</si>
  <si>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</si>
  <si>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</si>
  <si>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</si>
  <si>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</si>
  <si>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</si>
  <si>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</si>
  <si>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</si>
  <si>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</si>
  <si>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</si>
  <si>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</si>
  <si>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</si>
  <si>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</si>
  <si>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</si>
  <si>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</si>
  <si>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</si>
  <si>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</si>
  <si>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</si>
  <si>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</si>
  <si>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</si>
  <si>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</si>
  <si>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</si>
  <si>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</si>
  <si>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</si>
  <si>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</si>
  <si>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</si>
  <si>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</si>
  <si>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</si>
  <si>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</si>
  <si>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</si>
  <si>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</si>
  <si>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</si>
  <si>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</si>
  <si>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</si>
  <si>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</si>
  <si>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</si>
  <si>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</si>
  <si>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</si>
  <si>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</si>
  <si>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</si>
  <si>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</si>
  <si>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</si>
  <si>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</si>
  <si>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</si>
  <si>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</si>
  <si>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</si>
  <si>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</si>
  <si>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</si>
  <si>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</si>
  <si>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</si>
  <si>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</si>
  <si>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</si>
  <si>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</si>
  <si>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</si>
  <si>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</si>
  <si>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</si>
  <si>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</si>
  <si>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</si>
  <si>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</si>
  <si>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</si>
  <si>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</si>
  <si>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</si>
  <si>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</si>
  <si>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</si>
  <si>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</si>
  <si>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</si>
  <si>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</si>
  <si>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</si>
  <si>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</si>
  <si>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</si>
  <si>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</si>
  <si>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</si>
  <si>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</si>
  <si>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</si>
  <si>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</si>
  <si>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</si>
  <si>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</si>
  <si>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</si>
  <si>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</si>
  <si>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</si>
  <si>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</si>
  <si>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</si>
  <si>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</si>
  <si>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</si>
  <si>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</si>
  <si>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</si>
  <si>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</si>
  <si>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</si>
  <si>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</si>
  <si>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</si>
  <si>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</si>
  <si>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</si>
  <si>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</si>
  <si>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</si>
  <si>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</si>
  <si>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</si>
  <si>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</si>
  <si>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</si>
  <si>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</si>
  <si>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</si>
  <si>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</si>
  <si>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</si>
  <si>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</si>
  <si>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</si>
  <si>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</si>
  <si>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</si>
  <si>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</si>
  <si>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</si>
  <si>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</si>
  <si>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</si>
  <si>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</si>
  <si>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</si>
  <si>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</si>
  <si>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</si>
  <si>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</si>
  <si>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</si>
  <si>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</si>
  <si>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</si>
  <si>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</si>
  <si>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</si>
  <si>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</si>
  <si>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</si>
  <si>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</si>
  <si>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</si>
  <si>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</si>
  <si>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</si>
  <si>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</si>
  <si>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</si>
  <si>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</si>
  <si>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</si>
  <si>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</si>
  <si>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</si>
  <si>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</si>
  <si>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</si>
  <si>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</si>
  <si>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</si>
  <si>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</si>
  <si>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</si>
  <si>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</si>
  <si>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</si>
  <si>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</si>
  <si>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</si>
  <si>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</si>
  <si>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</si>
  <si>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</si>
  <si>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</si>
  <si>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</si>
  <si>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</si>
  <si>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</si>
  <si>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</si>
  <si>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</si>
  <si>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</si>
  <si>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</si>
  <si>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</si>
  <si>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</si>
  <si>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</si>
  <si>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</si>
  <si>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</si>
  <si>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</si>
  <si>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</si>
  <si>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</si>
  <si>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</si>
  <si>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</si>
  <si>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</si>
  <si>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</si>
  <si>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</si>
  <si>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</si>
  <si>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</si>
  <si>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</si>
  <si>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</si>
  <si>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</si>
  <si>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</si>
  <si>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</si>
  <si>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</si>
  <si>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</si>
  <si>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</si>
  <si>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</si>
  <si>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</si>
  <si>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</si>
  <si>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</si>
  <si>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</si>
  <si>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</si>
  <si>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</si>
  <si>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</si>
  <si>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</si>
  <si>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</si>
  <si>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</si>
  <si>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</si>
  <si>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</si>
  <si>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</si>
  <si>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</si>
  <si>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</si>
  <si>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</si>
  <si>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</si>
  <si>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</si>
  <si>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</si>
  <si>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</si>
  <si>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</si>
  <si>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</si>
  <si>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</si>
  <si>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</si>
  <si>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</si>
  <si>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</si>
  <si>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</si>
  <si>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</si>
  <si>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</si>
  <si>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</si>
  <si>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</si>
  <si>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</si>
  <si>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</si>
  <si>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</si>
  <si>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</si>
  <si>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</si>
  <si>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</si>
  <si>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</si>
  <si>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</si>
  <si>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</si>
  <si>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</si>
  <si>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</si>
  <si>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</si>
  <si>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</si>
  <si>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</si>
  <si>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</si>
  <si>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</si>
  <si>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</si>
  <si>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</si>
  <si>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</si>
  <si>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</si>
  <si>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</si>
  <si>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</si>
  <si>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</si>
  <si>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</si>
  <si>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</si>
  <si>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</si>
  <si>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</si>
  <si>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</si>
  <si>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</si>
  <si>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</si>
  <si>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</si>
  <si>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</si>
  <si>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</si>
  <si>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</si>
  <si>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</si>
  <si>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</si>
  <si>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</si>
  <si>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</si>
  <si>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</si>
  <si>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</si>
  <si>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</si>
  <si>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</si>
  <si>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</si>
  <si>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</si>
  <si>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</si>
  <si>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</si>
  <si>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</si>
  <si>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</si>
  <si>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</si>
  <si>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</si>
  <si>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</si>
  <si>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</si>
  <si>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</si>
  <si>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</si>
  <si>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</si>
  <si>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</si>
  <si>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</si>
  <si>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</si>
  <si>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</si>
  <si>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</si>
  <si>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</si>
  <si>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</si>
  <si>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</si>
  <si>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</si>
  <si>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</si>
  <si>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</si>
  <si>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</si>
  <si>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</si>
  <si>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</si>
  <si>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</si>
  <si>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</si>
  <si>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</si>
  <si>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</si>
  <si>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</si>
  <si>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</si>
  <si>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</si>
  <si>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</si>
  <si>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</si>
  <si>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</si>
  <si>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</si>
  <si>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</si>
  <si>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</si>
  <si>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</si>
  <si>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</si>
  <si>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</si>
  <si>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</si>
  <si>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</si>
  <si>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</si>
  <si>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</si>
  <si>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</si>
  <si>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</si>
  <si>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</si>
  <si>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</si>
  <si>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</si>
  <si>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</si>
  <si>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</si>
  <si>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</si>
  <si>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</si>
  <si>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</si>
  <si>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</si>
  <si>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</si>
  <si>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</si>
  <si>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</si>
  <si>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</si>
  <si>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</si>
  <si>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</si>
  <si>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</si>
  <si>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</si>
  <si>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</si>
  <si>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</si>
  <si>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</si>
  <si>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</si>
  <si>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</si>
  <si>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</si>
  <si>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</si>
  <si>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</si>
  <si>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</si>
  <si>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</si>
  <si>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</si>
  <si>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</si>
  <si>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</si>
  <si>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</si>
  <si>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indexed="8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</si>
  <si>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indexed="8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</si>
  <si>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</si>
  <si>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</si>
  <si>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</si>
  <si>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</si>
  <si>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</si>
  <si>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</si>
  <si>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</si>
  <si>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</si>
  <si>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</si>
  <si>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</si>
  <si>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</si>
  <si>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</si>
  <si>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</si>
  <si>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</si>
  <si>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</si>
  <si>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</si>
  <si>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</si>
  <si>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</si>
  <si>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</si>
  <si>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</si>
  <si>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</si>
  <si>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</si>
  <si>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</si>
  <si>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indexed="8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</si>
  <si>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</si>
  <si>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</si>
  <si>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</si>
  <si>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</si>
  <si>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</si>
  <si>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</si>
  <si>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</si>
  <si>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</si>
  <si>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</si>
  <si>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</si>
  <si>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</si>
  <si>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</si>
  <si>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</si>
  <si>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</si>
  <si>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</si>
  <si>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</si>
  <si>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</si>
  <si>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</si>
  <si>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</si>
  <si>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</si>
  <si>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</si>
  <si>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</si>
  <si>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</si>
  <si>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</si>
  <si>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</si>
  <si>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</si>
  <si>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</si>
  <si>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</si>
  <si>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</si>
  <si>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</si>
  <si>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</si>
  <si>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</si>
  <si>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</si>
  <si>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</si>
  <si>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</si>
  <si>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</si>
  <si>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</si>
  <si>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</si>
  <si>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</si>
  <si>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</si>
  <si>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</si>
  <si>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</si>
  <si>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</si>
  <si>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</si>
  <si>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</si>
  <si>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</si>
  <si>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</si>
  <si>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</si>
  <si>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</si>
  <si>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</si>
  <si>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</si>
  <si>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</si>
  <si>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</si>
  <si>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</si>
  <si>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</si>
  <si>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</si>
  <si>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</si>
  <si>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</si>
  <si>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</si>
  <si>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</si>
  <si>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</si>
  <si>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</si>
  <si>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</si>
  <si>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</si>
  <si>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</si>
  <si>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</si>
  <si>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</si>
  <si>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</si>
  <si>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</si>
  <si>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</si>
  <si>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</si>
  <si>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</si>
  <si>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</si>
  <si>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</si>
  <si>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</si>
  <si>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</si>
  <si>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</si>
  <si>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</si>
  <si>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</si>
  <si>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</si>
  <si>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ระยะเวลา
(ว ด ป)</t>
  </si>
  <si>
    <t>จำนวน (บ.)</t>
  </si>
  <si>
    <t xml:space="preserve"> /</t>
  </si>
  <si>
    <t>ผู้รับบริการในวันรณรงค์ มีความรู้ด้านสุขภาพ ร้อยละ 80</t>
  </si>
  <si>
    <t xml:space="preserve">เงินบำรุงรพ. 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</si>
  <si>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</si>
  <si>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</si>
  <si>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</si>
  <si>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</si>
  <si>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เงินบำรุงสสอ. (PP CUP)</t>
  </si>
  <si>
    <t>เงินบำรุงรพ. (PP CUP)</t>
  </si>
  <si>
    <t>เงินบำรุง รพ. (PPปฐมภูมิ)</t>
  </si>
  <si>
    <t>อปท./อบจ.</t>
  </si>
  <si>
    <t>อื่นๆ</t>
  </si>
  <si>
    <t>มีการจัดกิจกรรมประชาสัมพัธ์รู้ทันโรคในวันสำคัญ</t>
  </si>
  <si>
    <t>เงินบำรุง รพ. (PP CUP)</t>
  </si>
  <si>
    <t>ญาดารัตน์ ฤาชา และทีมสุขศึกษา</t>
  </si>
  <si>
    <t>ผู้รับบริการอาคารผู้ป่วยนอก รพ.เขาฉกรรจ์ ช่วงเวลา 08.00 น.- 09.00 น. จำนวน 7 วัน ๆ ละ 30 คน รวม 210 คน</t>
  </si>
  <si>
    <t>1.ค่าป้ายไวนิลประชาสัมพันธ์ ขนาด 2.5 X 1.5 ม. ตร.ม.ละ 200 บาท จำนวน 7 ป้าย เป็นเงิน</t>
  </si>
  <si>
    <t>ไตรมาส 1-3 
(ตามวันสำคัญ)</t>
  </si>
  <si>
    <t>แผนปฏิบัติราชการเครือข่ายบริการสุขภาพ อำเภอเขาฉกรรจ์ จังหวัดสระแก้ว ประจำปีงบประมาณ พ.ศ. 2565</t>
  </si>
  <si>
    <t>2.กิจกรรมประชาสัมพันธ์ รู้ทันโลก ในวัน สำคัญทางสาธารณสุข 
1.วันเบาหวานโลก 14 พ.ย. 64
2.วันเอดส์โลก 1 ธ.ค. 64
3.วันวาเลนไทน์ 14 ก.พ. 65
4.วันวัณโรคโลก 24 มี.ค. 65
5.วันสุขบัญญัติแห่งชาติ 28 พ.ค. 65
6.วันรณรงค์ตรวจ HIV 1 มิ.ย. 65
7.วัน ASEAN DENGUE Day 15 มิ.ย. 65</t>
  </si>
  <si>
    <t>สรุปรายละเอียดงบประมาณ แผนปฏิบัติราชการเครือข่ายบริการสุขภาพ อำเภอเขาฉกรรจ์ จังหวัดสระแก้ว ประจำปีงบประมาณ พ.ศ. 2565</t>
  </si>
  <si>
    <t>ยุทธศาสตร์ ที่ 5 การพัฒนาระบบการตอบโต้ภาวะฉุกเฉินและภัยสุขภาพ</t>
  </si>
  <si>
    <t>ประเด็นยุทธศาสตร์ที่ 5  การพัฒนาระบบการตอบโต้ภาวะฉุกเฉินและภัยสุขภาพ</t>
  </si>
  <si>
    <t>กลยุทธ์ที่ 15 พัฒนาศักยภาพเครือข่ายสื่อสารความเสี่ยงและประชาสัมพันธ์</t>
  </si>
  <si>
    <t>แหล่ง</t>
  </si>
  <si>
    <t>1.อบรมพัฒนาบุคลากรเรื่อง ทักษะการช่วยเหลือผู้เจ็บป่วยฉุกเฉิน ณ จุดเกิดเหตุ
2.ซ้อมแผน 1669 เขาฉกรรจ์ เตรียมความพร้อมรับสถานการณ์ฉุกเฉินและอุบัติเหตุหมู่ (จำนวน 2 รุ่น ๆ ละ 1 วัน)</t>
  </si>
  <si>
    <t>สร้างเครือข่ายในการช่วยเหลือผู้ป่วยนอก รพ. รพ.สต. และพัฒนาศักยภาพอาสาสมัครกู้ชีพ</t>
  </si>
  <si>
    <t xml:space="preserve">ร้อยละ 90 ของผู้เข้าอบรมผ่านเกณฑ์ประเมิน </t>
  </si>
  <si>
    <t xml:space="preserve">1.เจ้าหน้าที่ สสอ. รพสต. และสอ. แห่งละ 1 คน รวม 8 คน 
2.เจ้าหน้าที่ รพ. จำนวน 142 คน (2 รุ่น ๆ ละ 71 คน)
3.เจ้าหน้าที่อื่น (กู้ภัย/ตำรวจ/ปภ./อปท.) จำนวน 30 คน
รวมจำนวน 180 คน (2 รุ่น ๆ ละ 90 คน)
             </t>
  </si>
  <si>
    <t>1.ค่าอาหารกลางวัน จำนวน 2 รุ่น ๆ ละ 90 คน ๆ ละ 1 มื้อ ๆ ละ 60 บาท เป็นเงิน</t>
  </si>
  <si>
    <t>วัชรินทร์ ,รันดร,อภิชัย ,สุชาดาจิราพัฒน์</t>
  </si>
  <si>
    <t>2.ค่าอาหารว่างและเครื่องดื่ม จำนวน 2 รุ่น ๆ ละ 90 คน ๆ ละ 2 มื้อ ๆ ละ 30 บาท เป็นเงิน</t>
  </si>
  <si>
    <t>3.ค่าป้ายไวนิล ขนาด 1.5x3 ตรม. รวม 4.5 ตรม. ๆ ละ 200 บาท เป็นเงิน</t>
  </si>
  <si>
    <t>เม.ย</t>
  </si>
  <si>
    <t>1.ประชุม คณะกรรมการ EOC (จำนวน 4 ครั้ง)</t>
  </si>
  <si>
    <t>คณะกรรมการ EOC กำหนดหรือทบทวนแนวทางการจัดการต่อสถานการณ์การแพร่ระบาดของเชื้อ COVID-19</t>
  </si>
  <si>
    <t>คณะกรรมการ EOC มีการประชุมเพื่อกำหนดหรือทบทวนแนวทางการจัดการต่อสถานการณ์การแพร่ระบาดของเชื้อ COVID-19</t>
  </si>
  <si>
    <t>คณะกรรมการ EOC อำเภอเขาฉกรรจ์ และผู้เกี่ยวข้อง จำนวน 50 คน</t>
  </si>
  <si>
    <t>ค่าอาหารว่างและเครื่องดื่ม จำนวน 50 คน ๆ ละ 4 มื้อ ๆ ละ 30 บาท เป็นเงิน</t>
  </si>
  <si>
    <t>อปท. (กองทุนหลักประกันสุขภาพ)</t>
  </si>
  <si>
    <t xml:space="preserve"> วัชรินทร์  บุญเฉื่อย</t>
  </si>
  <si>
    <t>2.อบรมพัฒนาบุคลากรเรื่อง ความรู้ ทักษะ และการประสานงาน ในการจัดการต่อสถานการณ์การแพร่ระบาดของเชื้อ COVID-19</t>
  </si>
  <si>
    <t>บุคลากรที่เกี่ยวข้องในเขตรับผิดชอบ เทศบาลตำบลเขาฉกรรจ์ ได้รับการอบรม และพร้อมจัดการกับปัญหาเมื่อมีสถานการณ์การแพร่ระบาดของเชื้อ COVID-19</t>
  </si>
  <si>
    <t>บุคลากรที่เกี่ยวข้องกับการจัดการต่อสถานการณ์การแพร่ระบาดของเชื้อ COVID-19 ในเขตรับผิดชอบ เทศบาลตำบลเขาฉกรรจ์ ได้รับการอบรม มากกว่าร้อยละ 80</t>
  </si>
  <si>
    <t xml:space="preserve">1.บุคลากรสาธารณสุข อ.เขาฉกรรจ์ จำนวน 100 คน
2.อสม. จำนวน 20 คน
3.ผู้เกี่ยวข้องอื่น ๆ (ฝ่ายปกครอง, อปท., ตำรวจ, ปภ.) จำนวน 30 คน
รวม 150 คน
</t>
  </si>
  <si>
    <t>1.ค่าอาหารกลางวัน จำนวน 150 คน ๆ ละ 1 มื้อ ๆ ละ 100 บาท เป็นเงิน</t>
  </si>
  <si>
    <t>ไตรมาส 2
(ม.ค. 64)</t>
  </si>
  <si>
    <t>2.ค่าอาหารว่างและเครื่องดื่ม จำนวน 150 คน ๆ ละ 2 มื้อ ๆ ละ 30 บาท เป็นเงิน</t>
  </si>
  <si>
    <t>4.ค่าสมนาคุณวิทยากร (ภาครัฐต่างหน่วยงาน) จำนวน 1 คน ๆ ละ 6 ชม. ๆ ละ 600 บาท เป็นเงิน</t>
  </si>
  <si>
    <t>5.ค่าวัสดุสำนักงาน จำนวน 150 ชุด ๆ ละ 30 บาท เป็นเงิน</t>
  </si>
  <si>
    <t xml:space="preserve">3.ซ้อมแผนสถานการณ์จำลอง ในการจัดการต่อสถานการณ์การแพร่ระบาดของเชื้อ COVID-19 </t>
  </si>
  <si>
    <t>บุคลากรที่เกี่ยวข้องในเขตรับผิดชอบ เทศบาลตำบลเขาฉกรรจ์ พร้อมจัดการกับปัญหาเมื่อมีสถานการณ์การแพร่ระบาดของเชื้อ COVID-19</t>
  </si>
  <si>
    <t>บุคลากรที่เกี่ยวข้องกับสถานการณ์จำลองการแพร่ระบาดของเชื้อ COVID-19 ในเขตรับผิดชอบ เทศบาลตำบลเขาฉกรรจ์ ได้รับการซ้อมแผน</t>
  </si>
  <si>
    <t>1.บุคลากรสาธารณสุข อ.เขาฉกรรจ์ จำนวน 50 คน
2.อสม. จำนวน 20 คน
3.ผู้เกี่ยวข้องอื่น ๆ (ฝ่ายปกครอง, อปท., ตำรวจ, ปภ.) จำนวน 30 คน
4.ประชาชนผู้เกี่ยวข้อง ประมาณ 30 คน
รวมจำนวน 130 คน 
(รวมเฉพาะบุคลากร จำนวน 100 คน)</t>
  </si>
  <si>
    <t>1.ค่าอาหารกลางวัน จำนวน 100 คน ๆ ละ 1 มื้อ ๆ ละ 100 บาท เป็นเงิน</t>
  </si>
  <si>
    <t>2.ค่าอาหารว่างและเครื่องดื่ม จำนวน 100 คน ๆ ละ 2 มื้อ ๆ ละ 30 บาท เป็นเงิน</t>
  </si>
  <si>
    <t>ประเด็นยุทธศาสตร์ที่ 5  การพัฒนาระบบตอบโต้ภาวะฉุกเฉินและภัยสุขภาพ</t>
  </si>
  <si>
    <t>กลยุทธ์ที่ 14 พัฒนาระบบเฝ้าระวังควบคุมโรคและภัยสุขภาพ</t>
  </si>
  <si>
    <t>กิจกรรมที่ 1 งานระบาดวิทยา การควบคุมป้องกันโรคและภัยสุขภาพ</t>
  </si>
  <si>
    <t>เสกสิทธิ์  บุญพร้อม / สถาพร  เทียมพูล</t>
  </si>
  <si>
    <t>1.1 ประชุมคณะกรรมการเฝ้าระวัง ควบคุมและป้องกันโรคระดับอำเภอ เพื่อชี้แจงนโยบายและถ่ายทอดแผน</t>
  </si>
  <si>
    <t xml:space="preserve">1.ทีมเฝ้าระวังป้องกันควบคุมโรคระดับอำเภอให้ได้มาตรฐาน
2.ทีมมีความรู้ด้านการเฝ้าระวัง ป้องกันควบคุมโรคให้แก่เครือข่ายระดับตำบล/พื้นที่
3.ท้องถิ่นมีส่วนร่วมเฝ้าระวัง ควบคุมป้องกันโรค ทั้งด้านทรัพยากรและบุคลากร </t>
  </si>
  <si>
    <t>ผู้เข้าร่วมประชุมไม่น้อยกว่าร้อยละ 80</t>
  </si>
  <si>
    <t>คณะกรรมเฝ้าระวัง ควบคุมป้องกันโรคระดับอำเภอ 30 คน</t>
  </si>
  <si>
    <t xml:space="preserve">1. ค่าอาหารว่างและเครื่องดื่ม จำนวน 30 คน ๆ ละ 2 มื้อ ๆ ละ 30 บาท เป็นเงิน
</t>
  </si>
  <si>
    <t>เงินบำรุง สสอ. (PP CUP)</t>
  </si>
  <si>
    <t xml:space="preserve"> ไตรมาส 1 (พ.ย. 2564)</t>
  </si>
  <si>
    <t>2. ค่าอาหารกลางวัน จำนวน 30 คน ๆ ละ 1 มื้อ ๆ ละ 100 บาท เป็นเงิน</t>
  </si>
  <si>
    <t>3. ค่าจัดทำคู่มือ สรุปรายงานสถานการณ์โรคและภัยสุขภาพ จำนวน 30 เล่ม ๆ ละ 20 บาท เป็นเงิน</t>
  </si>
  <si>
    <t xml:space="preserve">1.2 อบรมพัฒนาศักยภาพบุคลากรงานระบาดในการใช้งานโปรแกรมรายงาน R506  </t>
  </si>
  <si>
    <t>บุคลากรงานระบาดมระบบรายงาน ตรวจจับ การระบาดของโรคติดต่อในพื้นที่ และสามารถรายงานเพื่อควบคุมป้องกันโรคได้มีประสิทธิภาพ</t>
  </si>
  <si>
    <t>ผู้รับผิดชอบงานระบาดวิทยา ควบคุมโรค และเจ้าหน้าที่บันทึกข้อมูล จำนวน 15 คน</t>
  </si>
  <si>
    <t>1. ค่าอาหารว่างและเครื่องดื่ม จำนวน 15 คน ๆ ละ 2 มื้อ ๆ ละ 30 บาท เป็นเงิน</t>
  </si>
  <si>
    <t>2. ค่าอาหารกลางวัน จำนวน 15 คน ๆ ละ 1 มื้อๆ ละ 60 บาท เป็นเงิน</t>
  </si>
  <si>
    <t>3. ค่าสมนาคุณวิทยากร (ภาครัฐต่างหน่วยงาน) จำนวน 1 คน 6 ชั่วโมง ๆ ละ 600 บาท เป็นเงิน</t>
  </si>
  <si>
    <t>ทีม SRRT อำเภอ จำนวน 15 คน</t>
  </si>
  <si>
    <t>1. ค่าอาหารว่างและเครื่องดื่ม จำนวน 15 คน ๆ ละ 4 มื้อ ๆ ละ 30 บาท เป็นเงิน</t>
  </si>
  <si>
    <t>ทุกไตรมาส
(ธ.ค. 64, มี.ค./มิ.ย./ก.ย. 65)</t>
  </si>
  <si>
    <t>มีระบบการตรวจจับ การรายงาน และการสอบสวนโรคในกรณีเกิดโรคระบาดในพื้นที่ และมีการป้องกันควบคุมโรคได้ทันท่วงที</t>
  </si>
  <si>
    <t xml:space="preserve">ทีม SRRT ร่วมลงสอบสวนโรค อย่างน้อยร้อยละ 80 </t>
  </si>
  <si>
    <t>ทีม SRRT จำนวน 5 คน</t>
  </si>
  <si>
    <t>1. ค่าเบี้ยเลี้ยงเจ้าหน้าที่ จำนวน 5 คน ๆ ละ 4 วัน ๆ ละ 120 บาท เป็นเงิน</t>
  </si>
  <si>
    <t xml:space="preserve">1.5 ประกวดรายงานสอบสวนโรคฉบับสมบูรณ์ </t>
  </si>
  <si>
    <t>1.ส่งเสริมให้ผู้รับผิดชอบงานระบาดวิทยาได้พัฒนาผลงานทางระบาดวิทยา
2.พัฒนาและแลกเปลี่ยนเรียนรู้การสอบสวนโรคฉบับสมบูรณ์</t>
  </si>
  <si>
    <t>ทุกสถานบริการมีรายงานสอบสวนโรคฉบับสมบูรณ์ส่งเข้าประกวดทุกแห่งอย่างน้องแห่งละ 1 เรื่อง</t>
  </si>
  <si>
    <t>เจ้าหน้าที่รับผิดชอบงานระบาด ควบคุมโรค และผู้สนใจ 15 คน</t>
  </si>
  <si>
    <t>ไตรมาส 4 (ส.ค. 2565)</t>
  </si>
  <si>
    <t>2. ค่าอาหารว่างและเครื่องดื่ม จำนวน 15 คน ๆ ละ 1 มื้อ ๆ ละ 30 บาท เป็นเงิน</t>
  </si>
  <si>
    <t>3. ค่าตอบแทนกรรมการประกวด จำนวน 3 คน ๆ ละ 400 บาท เป็นเงิน</t>
  </si>
  <si>
    <t>1.6 ประชุมเชิงปฏิบัติการเพื่อพัฒนาศักยภาพหน่วยปฏิบัติการควบคุมโรคติดต่อ (CDCU) (จำนวน 1 ครั้งๆละ 3 วัน)</t>
  </si>
  <si>
    <t>เจ้าหน้าที่ประจำหน่วยปฏิบัติการควบคุมโรคติดต่อ (CDCU) มีศักยภาพในการดำเนินงาน และปฏิบัติงานในหน่วยควบคุมโรคติดต่อได้</t>
  </si>
  <si>
    <t xml:space="preserve">เจ้าหน้าที่ประจำหน่วยปฏิบัติการควบคุมโรคติดต่อ (CDCU) จำนวน 30 คน ได้รับการพัฒนาศักกยภาพ </t>
  </si>
  <si>
    <t xml:space="preserve">เจ้าหน้าที่ประจำหน่วยปฏิบัติการควบคุมโรคติดต่อ (CDCU) จำนวน 30 คน </t>
  </si>
  <si>
    <t>1. ค่าอาหารกลางวัน จำนวน 30 คน ๆ ละ 3 มื้อ ๆ ละ 100 บาท เป็นเงิน</t>
  </si>
  <si>
    <t>ไตรมาส 1 (ธ.ค. 2564)</t>
  </si>
  <si>
    <t>2. ค่าอาหารว่างและเครื่องดื่ม จำนวน 30 คน ๆ ละ 6 มื้อ ๆ ละ 30 บาท เป็นเงิน</t>
  </si>
  <si>
    <t>3. ค่าสมนาคุณวิทยากร (ภาครัฐต่างหน่วยงาน) จำนวน 1 คน ๆ ละ 18 ชม. ๆ ละ 600 บาท เป็นเงิน</t>
  </si>
  <si>
    <t>4. ค่าสมนาคุณวิทยากร (ภาครัฐต่างหน่วยงาน) จำนวน 2 คน ๆ ละ 6 ชม. ๆ ละ 600 บาท เป็นเงิน (แบ่งกลุ่มเป็นกลุ่มย่อย)</t>
  </si>
  <si>
    <t>5. ค่าชดเชยพาหนะเดินทางสำหรับวิทยากร 1 คน จำนวน 1,500 บาท เป็นเงิน (ไป-กลับ 375 กม.ๆละ4 บาท)</t>
  </si>
  <si>
    <t>6. ค่าเช่าที่พักสำหรับวิทยากร 1 คน จำนวน 1 ห้อง ๆ ละ 2 คืน ๆ ละ 900 บาท เป็นเงิน</t>
  </si>
  <si>
    <t>7. ค่าถ่ายเอกสาร จำนวน 3,000 แผ่น ๆ ละ 50 สตางค์ เป็นเงิน</t>
  </si>
  <si>
    <t>8. ค่าวัสดุสำนักงาน (แฟ้ม, ปากกา, สมุด, กระดาษA4, ปากาเคมี, กระดาษฟลิปชาร์ท ฯลฯ) จำนวน 30 ชุด ๆ ละ 30 บาท เป็นเงิน</t>
  </si>
  <si>
    <t>รวมกิจกรรมที่ 1</t>
  </si>
  <si>
    <t>กิจกรรมที่ 2. งานควบคุมป้องกันโรคไข้เลือดออก</t>
  </si>
  <si>
    <t>2.1 สุ่มประเมินลูกน้ำหมู่บ้านที่มีความเสี่ยงพื้นที่ละ 1 หมู่บ้าน (จำนวน 2 ครั้งๆละ 1 วัน)</t>
  </si>
  <si>
    <t>ทีมสามารถตรวจจับความชุกของ HI ของหมู่บ้านที่มีความเสี่ยง</t>
  </si>
  <si>
    <t>หมู่บ้านที่มีความเสี่ยงในแต่ละพื้นที่มีค่า HI ไม่เกินมาตรฐาน</t>
  </si>
  <si>
    <t>1.หมู่บ้านในระดับสถานบริการละ 1 หมู่ รวม 8 หมู่บ้าน
2.เจ้าหน้าที่ออกสุ่มตรวจ จำนวน 10 คน</t>
  </si>
  <si>
    <t>1.ค่าเบี้ยเลี้ยงเจ้าหน้าที่ออกสุ่มสำรวจลูกน้ำยุงลาย จำนวน 10 คน ๆ ละ 2 ครั้ง ๆ ละ 1 วัน ๆ ละ 120 บาท เป็นเงิน</t>
  </si>
  <si>
    <t>มี.ค. และ ก.ย. 65</t>
  </si>
  <si>
    <t>2.2 มอบใบประกาศเกียรติบัตร หมู่บ้าน/ชุมชน ที่ไม่มีรายงานผู้ป่วยไข้เลือดออก ไตรมาสละ 1 ครั้ง รวม 4 ครั้ง</t>
  </si>
  <si>
    <t>หมู่บ้าน/ชุมชนมีส่วนร่วมในการดำเนินงานควบคุมป้องกันโรคไข้เลือดออก</t>
  </si>
  <si>
    <t>หมู่บ้าน/ชุมชน ไม่พบรายงานผู้ป่วยไข้เลือดออก ร้อยละ 85</t>
  </si>
  <si>
    <t>71 หมู่บ้าน 10 ชุมชน</t>
  </si>
  <si>
    <t>1.ค่าจัดทำใบประกาศเกียรติบัตร จำนวน 280 แผ่น ๆ ละ 35 บาท เป็นเงิน</t>
  </si>
  <si>
    <t>1.ค่าป้ายไวนิล (แจ้งเตือนพื้นที่ระบาดไข้เลือดออก) ขนาด 1*3 ตารางเมตรๆละ 200 บาท จำนวน 10 ป้าย เป็นเงิน</t>
  </si>
  <si>
    <t>รวมกิจกรรมที่ 2</t>
  </si>
  <si>
    <t xml:space="preserve">3.1 อบรมเชิงปฏิบัติการการสั่งการภาวะฉุกเฉินและซักซ้อมแผนกรณี พบผู้ป่วยโควิด-19 ในพื้นที่ </t>
  </si>
  <si>
    <t>1.คณะกรรมการได้รับทราบบทบาทและหน้าที่ที่ตนได้รับ
2.คณะกรรมการทราบระบบการสั่งการเมื่อเกิดภาวะฉุกเฉินขึ้น</t>
  </si>
  <si>
    <t xml:space="preserve">คณะทำงานทีม EOC และ SAT เข้าร่วมประชุมไม่น้อยกว่าร้อยละ 85 </t>
  </si>
  <si>
    <t>คณะทำงานทีม EOC ทีม SAT และผู้ที่เกี่ยวข้อง 50 คน</t>
  </si>
  <si>
    <t>1. ค่าอาหารกลางวัน จำนวน 50 คน ๆ ละ 1 มื้อ ๆ ละ 100 บาท เป็นเงิน</t>
  </si>
  <si>
    <t>ไตรมาส 2
(ม.ค. 2565)</t>
  </si>
  <si>
    <t>เสกสิทธิ์  บุญพร้อม</t>
  </si>
  <si>
    <t>2. ค่าอาหารว่างและเครื่องดื่ม จำนวน 50 คน ๆ ละ 2 มื้อ ๆ ละ 30 บาท เป็นเงิน</t>
  </si>
  <si>
    <t>3. ค่าสมนาคุณวิทยากร (ภาครัฐต่างหน่วยงาน) จำนวน 2 คน ๆ ละ 3 ชั่วโมง ๆ ละ 600 บาท เป็นเงิน</t>
  </si>
  <si>
    <t>4. ค่าจัดทำคู่มือ จำนวน 50 ชุด ๆ ละ 20 บาท เป็นเงิน</t>
  </si>
  <si>
    <t>5.1 ประชุมทบทวนมาตรการ วางแผน การดำเนินงานป้องกันควบคุมโรคพิษสุนัขบ้า ภายใต้รูปแบบสุขภาพหนึ่งเดียว (One Health)</t>
  </si>
  <si>
    <t>ทีมมีระบบการรายงาน เฝ้าระวังติดตามผู้ถูกสัตว์นำโรคกัดที่มีประสิทธิภาพและไปในทิศทางเดียวกัน</t>
  </si>
  <si>
    <t>1.ผู้เข้าร่วมประชุมฯ ไม่น้อยกว่าร้อยละ 85</t>
  </si>
  <si>
    <t>ผู้รับรับผิดชอบงานระบาด ควบคุมโรค งานป้องกันพิษสุนัขบ้า และสหสาขาวิชาชีพ อสม.และองค์กรปกครองส่วนท้องถิ่น จำนวน 30 คน</t>
  </si>
  <si>
    <t>1. ค่าอาหารว่างและเครื่องดื่ม จำนวน 30 คน ๆ ละ 1 มื้อ ๆ ละ 30 บาท เป็นเงิน</t>
  </si>
  <si>
    <t>ทุกตำบลมีการดำเนินงานตำบลสุขภาพหนึ่งเดียวผ่านเกณฑ์ร้อยละ 100</t>
  </si>
  <si>
    <t xml:space="preserve">1. ค่าจัดทำคู่มือ จำนวน 30 เล่ม เล่มละ 20 บาท เป็นเงิน </t>
  </si>
  <si>
    <t>ไตรมาส 3
(ส.ค. 2565)</t>
  </si>
  <si>
    <t xml:space="preserve">2. ค่าเบี้ยเลี้ยงเจ้าหน้าที่ จำนวน 5 คน ๆ ละ 2 วัน ๆ ละ 120 บาท เป็นเงิน </t>
  </si>
  <si>
    <t xml:space="preserve">1.ประชุมแลกเปลี่ยนเรียนรู้การดูแลรักษาผู้ป่วยวัณโรคด้วย DOTs Meeting </t>
  </si>
  <si>
    <t>เจ้าหน้าที่สาธารณสุข ได้รับการพัฒนาศักยภาพในการดูแลรักษาผู้ป่วยโรควัณโรค</t>
  </si>
  <si>
    <t>ประชุมไตรมาสละ 1 ครั้ง (4ครั้ง/ปี)</t>
  </si>
  <si>
    <t>เจ้าหน้าที่ผู้รับผิดชอบงานวัณโรค ของเครือข่ายบริการสุขภาพอำเภอเขาฉกรรจ์ แพทย์ เภสัช lab จำนวน 15 คน</t>
  </si>
  <si>
    <t>บูรณาการกับงานประจำ</t>
  </si>
  <si>
    <t>-</t>
  </si>
  <si>
    <t xml:space="preserve">ไตรมาส ละ 1 ครั้ง
</t>
  </si>
  <si>
    <t xml:space="preserve">  </t>
  </si>
  <si>
    <t>นางสาวสุพัตรา อรรคพัฒน์</t>
  </si>
  <si>
    <t>2.ค้นหาวัณโรคเชิงรุกในชุมชน</t>
  </si>
  <si>
    <t>2.1ค้นหาผู้ป่วยวัณโรคเชิงรุกในชุมชน โดยรถตรวจเอกซเรย์ทรวงอก(ดิจิตอล)เคลื่อนที่</t>
  </si>
  <si>
    <t>กลุ่มเสี่ยงโรควัณโรคได้รับการตรวจคัดกรองด้วยการเอ็กซเรย์ทรวงอก</t>
  </si>
  <si>
    <t>อัตราความสำเร็จการรักษาผู้ป่วยวัณโรค มากกว่าร้อยละ 85</t>
  </si>
  <si>
    <t>กลุ่มเสี่ยงโรควัณโรค ผู้สัมผัส ผู้สูงอายุ ผู้ป่วยโรคเรื้อรัง พระภิกษุสงฆ์ 2,000 คน</t>
  </si>
  <si>
    <t>1.ค่าจ้างเหมารถตรวจเอกซเรย์ทรวงอก (ดิจิตอล) เคลื่อนที่ จำนวน 2,000 คน ๆ ละ 60 บาท เป็นเงิน</t>
  </si>
  <si>
    <t>2.ค่าตอบแทนปฏิบัติงานนอกเวลาราชการของเจ้าหน้าที่ เพื่อบันทึกข้อมูลการคัดกรองวัณโรคในโปรแกรม NTIP จำนวน 4 คน ๆ ละ 5 วัน ๆ ละ 420 บาท เป็นเงิน</t>
  </si>
  <si>
    <t>2.2ตรวจเสมหะผู้มีปอดผิดปกติ</t>
  </si>
  <si>
    <t>ผู้มีผล X-ray ผิดปกติ ได้รับการตรวจเสมหะ</t>
  </si>
  <si>
    <t>ผู้มีผล X-ray ผิดปกติ ได้รับการตรวจเสมหะ 100 %</t>
  </si>
  <si>
    <t>ประมาณ 150 คน(10%ของกลุ่มเป้าหมายที่ต้องได้รับการ X-ray)</t>
  </si>
  <si>
    <t xml:space="preserve">3.ชุมชนเข้มแข็งด้านวัณโรค </t>
  </si>
  <si>
    <t>หมู่บ้าน/ชุมชน มีการดำเนินการตามแนวทางชุมชนเข้มแข็งด้านวัณโรค</t>
  </si>
  <si>
    <t>มีชุมชนเข้มแข็งด้านวัณโรค ไม่น้อยกว่าร้อยละ 80 ของกลุ่มเป้าหมาย</t>
  </si>
  <si>
    <t>ชุมชนหรือหมู่บ้านในเขต อ.เขาฉกรรจ์ จำนวน 8แห่ง</t>
  </si>
  <si>
    <t>4.กิจกรรมวัดต้นแบบด้านโรควัณโรค ปีที่ 4 ครบ 100%</t>
  </si>
  <si>
    <t xml:space="preserve">วัดมีการดำเนินงานตามเกณฑ์วัดต้นแบบด้านโรควัณโรค </t>
  </si>
  <si>
    <t>วัดผ่านเกณฑ์วัดต้นแบบด้านโรควัณโรค ร้อยละ 100</t>
  </si>
  <si>
    <t>วัดในเขต อ.เขาฉกรรจ์ ที่ยังไม่ได้ดำเนินการ</t>
  </si>
  <si>
    <t>5.ประชาสัมพันธ์ ป้องกันการติดเชื้อวัณโรคในโรงพยาบาล</t>
  </si>
  <si>
    <t>โรงพยาบาลมีสื่อประชาสัมพันธ์ กับผู้ป่วยและญาติผู้มารับบริการ</t>
  </si>
  <si>
    <t>โรงพยาบาลมีการจัดให้มีสื่อประชาสัมพันธ์ กับผู้ป่วยและญาติผู้มารับบริการ</t>
  </si>
  <si>
    <t xml:space="preserve">จุดบริการผู้ป่วยวัณโรค และจุดซักประวัติผู้ป่วยทั่วไป จำนวน 5 จุด </t>
  </si>
  <si>
    <t>ค่าจัดทำสื่อประชาสัมพันธ์ (ป้ายอะคริลิคตั้งโต๊ะ ขนาด A4) จำนวน 5 ป้าย ๆ ละ 300 บาท เป็นเงิน</t>
  </si>
  <si>
    <t xml:space="preserve">ชุมชน/หมู่บ้าน มีการดำเนินกิจกรรม กินร้อน ช้อนกลางล้างมือ ตามมาตรการ NEW NOLMAL เพื่อส่งเสริมความรู้พฤติกรรมแก่ประชาชน รวมถึงมีการคัดกรอง/ค้นหาผู้ป่วยเชิงรุก กลุ่มเสี่ยงหลัก ผู้สูงอายุ 65 ปีขึ้นไป และผู้สัมผัสร่วมบ้าน ผู้ป่วยโรคเรื้อรัง และพระภิกษุสงฆ์
  </t>
  </si>
  <si>
    <t>ชุมชน/หมู่บ้าน นำร่อง ในอำเภอเขาฉกรรจ์เข้าร่วมดำเนินกิจกรรม และดำเนินกิจกรรมผ่านเกณฑ์ ร้อยละ 100</t>
  </si>
  <si>
    <t>1.ชุมชน/หมู่บ้าน นำร่อง จำนวน 8 ชุมชน/หมู่บ้าน ในอำเภอเขาฉกรรจ์
2.เจ้าหน้าที่ออกติดตาม จำนวน 5 คน</t>
  </si>
  <si>
    <t>1. ค่าเบี้ยเลี้ยงเจ้าหน้าที่ออกติดตามการดำเนินงาน จำนวน 5 คน ๆ ละ 2 วัน ๆ ละ 120 บาท เป็นเงิน</t>
  </si>
  <si>
    <t>สุพัตรา อรรคพัฒน์/เสกสิทธิ์  บุญพร้อม</t>
  </si>
  <si>
    <t>2. ค่าจัดทำใบประกาศเกียรติบัตรพร้อมกรอบ จำนวน 8 แผ่น ๆ ละ 200 บาท เป็นเงิน</t>
  </si>
  <si>
    <t>กลยุทธ์ที่ 13  การพัฒนาศักยภาพเครือข่ายและระบบการตอบโต้ภาวะฉุกเฉินและภัยสุขภาพ</t>
  </si>
  <si>
    <t xml:space="preserve"> โครงการพัฒนาทักษะทีมกู้ชีพ กู้ภัย ซ้อมแผนรับสถานการณ์ฉุกเฉินและอุบัติเหตุหมู่ สอดคล้องกับระบบบริการการแพทย์ฉุกเฉินครบวงจรและรบบส่งต่อ (ECS)</t>
  </si>
  <si>
    <t>ธ.ค.64</t>
  </si>
  <si>
    <t xml:space="preserve"> โครงการพัฒนาความรู้ ทักษะ การประสานงาน และซ้อมแผนรับสถานการณ์การแพร่ระบาดของเชื้อ COVID-19</t>
  </si>
  <si>
    <t xml:space="preserve"> โครงการอำเภอควบคุมโรคเข้มแข็ง และภัยสุขภาพแบบบูรณการอย่างยั่งยืน อำเภอเขาฉกรรจ์ ปีงบประมาณ พ.ศ.2565</t>
  </si>
  <si>
    <t>รวมกิจกรรมที่ 3</t>
  </si>
  <si>
    <t>กิจกรรมที่ 3 การดำเนินงานงานศูนย์ปฏิบัติการภาวะฉุกเฉิน (EOC) และทีมตระหนักรู้สถานการณ์ (SAT)</t>
  </si>
  <si>
    <t>กิจกรรมที่ 4 การดำเนินงาน ป้องกันพิษสุนัขบ้า ภายใต้รูปแบบสุขภาพหนึ่งเดียว (One Health)</t>
  </si>
  <si>
    <t>รวมกิจกรรมที่ 4</t>
  </si>
  <si>
    <t>โครงการพัฒนาระบบการดูแลผู้ป่วยโรควัณโรค อำเภอเขาฉกรรจ์</t>
  </si>
  <si>
    <t xml:space="preserve"> พ.ย. 64 - ธ.ค. 64</t>
  </si>
  <si>
    <t>ไตรมาส 2
(ก.พ.- มี.ค. 65)</t>
  </si>
  <si>
    <t>ไตรมาส 4
(ก.ค. 2565)</t>
  </si>
  <si>
    <t>6.1 ชุมชน/หมู่บ้าน ส่งเสริมสุขภาพด้านวัณโรค (จำนวน 1 ครั้งๆละ 2 วัน)</t>
  </si>
  <si>
    <t xml:space="preserve"> โครงการประชาสัมพันธ์งานสาธารณสุขตามปฏิทินวันสำคัญประจำปี งบประมาณ พ.ศ. 2565</t>
  </si>
  <si>
    <t xml:space="preserve">1.สำรวจและจัดทำฐานข้อมูล (Whitelist) ประชาชน อ.เขาฉกรรจ์ แยกตามกลุ่มประชากร </t>
  </si>
  <si>
    <t>ประชาชนในเขต อ.เขาฉกรรจ์ ได้รับการขึ้นทะเบียนอยู่ในฐานข้อมูล (Whitelist)</t>
  </si>
  <si>
    <t>ประชาชนในเขต อ.เขาฉกรรจ์ ได้รับการขึ้นทะเบียนอยู่ในฐานข้อมูล (Whitelist) ร้อยละ 100</t>
  </si>
  <si>
    <t>ประชาชนในเขต อ.เขาฉกรรจ์ จำนวน 50,872 คน</t>
  </si>
  <si>
    <t>มนทุกาญจน์ พันธ์เพียร</t>
  </si>
  <si>
    <t xml:space="preserve">2.รณรงค์การฉีดวัคซีนและจองฉีดวัคซีนผ่านระบบ "หมอพร้อม" และระบบอื่น ๆ </t>
  </si>
  <si>
    <t xml:space="preserve">ประชาชนในเขต อ.เขาฉกรรจ์ ได้รับการจองฉีดวัคซีนผ่านระบบ "หมอพร้อม" และ/หรือ ระบบอื่น ๆ </t>
  </si>
  <si>
    <t>ประชาชนในเขต อ.เขาฉกรรจ์ ได้รับการจองฉีดวัคซีนผ่านระบบ "หมอพร้อม" และ/หรือ ระบบอื่น ๆ ไม่ต่ำกวาร้อยละ 70</t>
  </si>
  <si>
    <t xml:space="preserve">3.ประชุมคณะทำงานระดับอำเภอ เพื่อวางแผนการฉีดวัคซีนป้องกันโรคติดเชื้อไวรัสโคโรนา 2019 </t>
  </si>
  <si>
    <t>การฉีดวัคซีนโควิด-19 มีความพร้อมด้าน ทรัพยากร บุคลากร สถานที่ เวลา และความเชี่ยวชาญ</t>
  </si>
  <si>
    <t>คณะทำงานการฉีดวัคซีนป้องกันโรคไวรัสโคโรนา 2019 อ.เขาฉกรรจ์ จำนวน 30 คน</t>
  </si>
  <si>
    <t>บูรณาการกับที่ทำการปกครองอำเภอเขาฉกรรจ์</t>
  </si>
  <si>
    <t>งบประมาณ อปท.</t>
  </si>
  <si>
    <t>วารีย์ วาสนารวยรุ่ง</t>
  </si>
  <si>
    <t>4.ฉีดวัคซีนป้องกันโรคติดเชื้อไวรัสโคโรนา 2019  ให้ประชาชน ตามกลุ่มเป้าหมายที่ รัฐบาลและกระทรวงสาธารณสุข กำหนด</t>
  </si>
  <si>
    <t>ประชาชนในเขต อ.เขาฉกรรจ์ ได้รับการฉีดวัคซีน จนเกิดภูมิคุ้มกันหมู่</t>
  </si>
  <si>
    <t>กลุ่มเป้าหมายในเขต อ.เขาฉกรรจ์ ที่ไม่มีข้อห้ามในการรับวัคซีนโควิด-19 ได้รับการฉีดวัคซีน ไม่ต่ำกว่าร้อยละ 84</t>
  </si>
  <si>
    <t>1.ประชาชนในเขต อ.เขาฉกรรจ์ จำนวน 36,511 คน (12,000 คน ในปีงบประมาณ พ.ศ. 2564)
2.เจ้าหน้าที่ จำนวน 40 คน/วัน</t>
  </si>
  <si>
    <t>เงินบำรุง รพ.</t>
  </si>
  <si>
    <t>ชัยพร สุธร, วารีย์ วาสนารวยรุ่ง</t>
  </si>
  <si>
    <t>ต.ค. 64 - มี.ค. 65</t>
  </si>
  <si>
    <t>ต.ค. 64 - มี.ค. 65 (ทุกวันราชการ)</t>
  </si>
  <si>
    <t>1.ค่าตอบแทนการการปฏิบัติงานนอกเวลาราชการ จนท.สธ. จำนวน 120 วัน ๆ ละ 40 คน ๆ ละ  1 ชม. ๆ ละ 75 บาท เป็นเงิน</t>
  </si>
  <si>
    <t>โครงการสร้างภูมิคุ้มกันหมู่เพื่อป้องกันโรคติดเชื้อไวรัสโคโรนา 2019 อำเภอเขาฉกรรจ์</t>
  </si>
  <si>
    <t>(พ.ย. 63)
(ก.พ. 64)
(พ.ค. 64)
(ส.ค. 64)</t>
  </si>
  <si>
    <t>2.ค่าเช่าเต็นท์ จำนวน 5 หลังๆละ 2,000 บาทต่อเดือน จำนวน 6 เดือน เป็นเงิน</t>
  </si>
  <si>
    <t>เงินบำรุง รพ.(PP-NONUC)</t>
  </si>
  <si>
    <t>เงินบำรุงรพ. (PP NONUC)</t>
  </si>
  <si>
    <t>งบสนับสนุน จาก สพฉ.</t>
  </si>
  <si>
    <t>1.4 ติดตามสอบสวนโรคกรณีโรคติดต่อระบาดในพื้นที่(จำนวน4 ครั้งๆละ1 วัน)</t>
  </si>
  <si>
    <t xml:space="preserve">
(ธ.ค. 64, มี.ค./มิ.ย./ก.ย. 65)</t>
  </si>
  <si>
    <r>
      <t xml:space="preserve">1. รางวัลสำรับการเขียนรายงานสอบสวนโรคฉบับสมบูรณ์ 2 กลุ่ม (กลุ่มโรคนำโดยแมลง และกลุ่มโรคติดต่ออื่นๆ)
 - ชนะเลิศ 2,000 บาท
 - รองชนะเลิศอันดับ 1  1,500 บาท
 - รองชนะเลิศอันดับ 2  1,000 บาท
 - ชมเชย 3 รางวัล ๆ ละ 500 บาท
</t>
    </r>
    <r>
      <rPr>
        <sz val="11"/>
        <rFont val="TH SarabunPSK"/>
        <family val="2"/>
      </rPr>
      <t>รวม รางวัล 2 กลุ่ม ๆ ละ 6,000 บาท เป็นเงิน</t>
    </r>
  </si>
  <si>
    <t>2.3 ประชาสัมพัธน์แจ้งเตือนพื้นที่ระบาดไข้เลือดออกในชุมชน/หมู่บ้าน</t>
  </si>
  <si>
    <t xml:space="preserve">5.2 นิเทศติดตามผลการดำเนินงานป้องกันควบคุมโรคพิษสุนัขบ้า ภายใต้รูปแบบสุขภาพหนึ่งเดียว (One Health) </t>
  </si>
  <si>
    <t xml:space="preserve">1.อำเภอเขาฉกรรจ์มีสุขภาพคน สัตว์ และสิ่งแวดล้อมที่ดี
2.การดำเนินงานสุขภาพหนึ่งเดียว (One Health) </t>
  </si>
  <si>
    <t>ผู้รับรับผิดชอบงานระบาด ควบคุมโรคา และสหสาขาวิชาชีพ อสม.และองค์กรปกครองส่วนท้องถิ่น จำนวน 30 คน
2.ผู้นิเทศ 5 คน</t>
  </si>
  <si>
    <t>ไตรมาส 1
(พ.ย. 64)</t>
  </si>
  <si>
    <t>6. เยี่ยมบ้านผู้ป่วยวัณโรคและติดตามการดำเนินงานชุมชนนำร่องส่งเสริมสุขภาพด้านวัณโรค</t>
  </si>
  <si>
    <t>3.ค่าเช่าเครื่องเสียง จำนวน 1 ชุด ๆ ละ 3,000 บาท เป็นเงิน</t>
  </si>
  <si>
    <t xml:space="preserve">4.ค่าวัสดุอุปกรณ์สำหรับการซ้อมแผน เช่น
-ชุด PPE + อุปกรณ์ครบชุด จำนวน 5 ชุด ๆ ละ 1,500 บาท 
-หน้ากากอนามัย (50 ชิ้น) จำนวน 5 กล่อง ๆ ละ 300 บาท
-เจลแอลกอฮอล์ล้างมือ (450 ซีซี) จำนวน 10 ขวด ๆ ละ 400 บาท
-น้ำยาทำความสะอาดพื้น จำนวน 2 แกลลอน ๆ ละ 500 บาท
-เทปกั้นเขต จำนวน 10 ม้วน ๆ ละ 400 บาท
-หรืออุปกรณ์อื่น ๆ </t>
  </si>
  <si>
    <t>งบประมาณ PP CUP</t>
  </si>
  <si>
    <t>1.ค่าตอบแทนการการปฏิบัติงานนอกเวลาราชการ จนท.สธ. จำนวน 90 วัน ๆ ละ 10 คน ๆ ละ  1 ชม. ๆ ละ 75 บาท เป็นเงิน</t>
  </si>
  <si>
    <t>โครงการที่ 36 โครงการพัฒนาทักษะทีมกู้ชีพ กู้ภัย ซ้อมแผนรับสถานการณ์ฉุกเฉินและอุบัติเหตุหมู่ สอดคล้องกับระบบบริการการแพทย์ฉุกเฉินครบวงจรและรบบส่งต่อ (ECS)</t>
  </si>
  <si>
    <t>โครงการที่ 37 โครงการพัฒนาความรู้ ทักษะ การประสานงาน และซ้อมแผนรับสถานการณ์การแพร่ระบาดของเชื้อ COVID-19</t>
  </si>
  <si>
    <t>โครงการที่ 38  โครงการอำเภอควบคุมโรคเข้มแข็ง และภัยสุขภาพแบบบูรณการอย่างยั่งยืน อำเภอเขาฉกรรจ์ ปีงบประมาณ พ.ศ.2565</t>
  </si>
  <si>
    <t>1.3 ประชุมทีม SRRT (จำนวน4ครั้งๆละ1 วัน)</t>
  </si>
  <si>
    <t>มีการแลกเปลี่ยนเรียนรู้ทีม</t>
  </si>
  <si>
    <t>ผู้ปฏิบัติงานระดับพื้นที่และอำเภอ</t>
  </si>
  <si>
    <t xml:space="preserve">เงินบำรุง สสอ. </t>
  </si>
  <si>
    <t>(PP CUP)</t>
  </si>
  <si>
    <t>โครงการที่  39 โครงการพัฒนาระบบการดูแลผู้ป่วยโรควัณโรค อำเภอเขาฉกรรจ์</t>
  </si>
  <si>
    <t>โครงการที่  40 โครงการสร้างภูมิคุ้มกันหมู่เพื่อป้องกันโรคติดเชื้อไวรัสโคโรนา 2019 อำเภอเขาฉกรรจ์</t>
  </si>
  <si>
    <t>โครงการที่  41 โครงการประชาสัมพันธ์งานสาธารณสุขตามปฏิทินวันสำคัญประจำปี 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</si>
</sst>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[$-1070000]d/m/yy;@"/>
    <numFmt numFmtId="190" formatCode="_-* #,##0.00_-;\-* #,##0.00_-;_-* &quot;-&quot;??_-;_-@"/>
    <numFmt numFmtId="191" formatCode="_-* #,##0_-;\-* #,##0_-;_-* &quot;-&quot;??_-;_-@"/>
    <numFmt numFmtId="192" formatCode="d\ mmm\ yy"/>
  </numFmts>
  <fonts count="77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3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4"/>
      <color indexed="8"/>
      <name val="TH SarabunIT๙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b/>
      <sz val="13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ahoma"/>
      <family val="2"/>
      <charset val="222"/>
    </font>
    <font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9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IT๙"/>
      <family val="2"/>
    </font>
    <font>
      <b/>
      <sz val="14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Tahoma"/>
      <family val="2"/>
      <charset val="22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23"/>
      <name val="TH SarabunIT๙"/>
      <family val="2"/>
    </font>
    <font>
      <sz val="14"/>
      <color indexed="23"/>
      <name val="TH SarabunIT๙"/>
      <family val="2"/>
    </font>
    <font>
      <b/>
      <sz val="13"/>
      <color indexed="8"/>
      <name val="TH SarabunPSK"/>
      <family val="2"/>
    </font>
    <font>
      <sz val="16"/>
      <color indexed="8"/>
      <name val="Tahoma"/>
      <family val="2"/>
      <charset val="22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4"/>
      <color indexed="23"/>
      <name val="Tahoma"/>
      <family val="2"/>
      <charset val="22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</font>
    <font>
      <sz val="11"/>
      <color rgb="FF000000"/>
      <name val="Tahoma"/>
      <family val="2"/>
    </font>
    <font>
      <sz val="11"/>
      <color theme="1"/>
      <name val="Tahoma"/>
      <family val="2"/>
      <scheme val="minor"/>
    </font>
    <font>
      <sz val="11"/>
      <color theme="1"/>
      <name val="Calibri"/>
      <family val="2"/>
      <charset val="22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name val="TH SarabunPSK"/>
      <family val="2"/>
    </font>
    <font>
      <b/>
      <sz val="12"/>
      <color indexed="8"/>
      <name val="TH SarabunPSK"/>
      <family val="2"/>
    </font>
    <font>
      <sz val="8"/>
      <name val="TH SarabunPSK"/>
      <family val="2"/>
    </font>
    <font>
      <sz val="8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IT๙"/>
      <family val="2"/>
    </font>
    <font>
      <sz val="10"/>
      <name val="TH SarabunPSK"/>
      <family val="2"/>
    </font>
    <font>
      <sz val="10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30">
    <xf numFmtId="0" fontId="0" fillId="0" borderId="0"/>
    <xf numFmtId="188" fontId="61" fillId="0" borderId="0" applyBorder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0" borderId="0"/>
    <xf numFmtId="0" fontId="60" fillId="0" borderId="0"/>
    <xf numFmtId="0" fontId="4" fillId="0" borderId="0"/>
    <xf numFmtId="0" fontId="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0" borderId="0"/>
    <xf numFmtId="0" fontId="60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0" fillId="0" borderId="0"/>
    <xf numFmtId="0" fontId="6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77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/>
    <xf numFmtId="0" fontId="26" fillId="0" borderId="1" xfId="0" applyFont="1" applyFill="1" applyBorder="1"/>
    <xf numFmtId="0" fontId="26" fillId="0" borderId="0" xfId="0" applyFont="1" applyFill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  <xf numFmtId="0" fontId="27" fillId="2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8" fillId="0" borderId="2" xfId="0" applyFont="1" applyBorder="1" applyAlignment="1"/>
    <xf numFmtId="0" fontId="26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0" fontId="26" fillId="5" borderId="1" xfId="0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6" fillId="6" borderId="1" xfId="0" applyFont="1" applyFill="1" applyBorder="1" applyAlignment="1">
      <alignment horizontal="center" vertical="top" wrapText="1"/>
    </xf>
    <xf numFmtId="0" fontId="27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31" fillId="0" borderId="1" xfId="0" applyFont="1" applyFill="1" applyBorder="1" applyAlignment="1">
      <alignment horizontal="left" vertical="top" wrapText="1"/>
    </xf>
    <xf numFmtId="3" fontId="32" fillId="0" borderId="1" xfId="20" applyNumberFormat="1" applyFont="1" applyFill="1" applyBorder="1" applyAlignment="1">
      <alignment vertical="top" wrapText="1" readingOrder="1"/>
    </xf>
    <xf numFmtId="0" fontId="2" fillId="0" borderId="0" xfId="0" applyFont="1"/>
    <xf numFmtId="0" fontId="29" fillId="0" borderId="0" xfId="0" applyFo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" fontId="33" fillId="2" borderId="1" xfId="20" applyNumberFormat="1" applyFont="1" applyFill="1" applyBorder="1" applyAlignment="1">
      <alignment vertical="top" wrapText="1" readingOrder="1"/>
    </xf>
    <xf numFmtId="4" fontId="33" fillId="7" borderId="1" xfId="20" applyNumberFormat="1" applyFont="1" applyFill="1" applyBorder="1" applyAlignment="1">
      <alignment vertical="top" wrapText="1" readingOrder="1"/>
    </xf>
    <xf numFmtId="0" fontId="11" fillId="0" borderId="1" xfId="0" applyFont="1" applyFill="1" applyBorder="1" applyAlignment="1">
      <alignment horizontal="left" vertical="top" wrapText="1"/>
    </xf>
    <xf numFmtId="43" fontId="14" fillId="0" borderId="1" xfId="20" applyFont="1" applyBorder="1" applyAlignment="1">
      <alignment horizontal="center" vertical="top" textRotation="90" wrapText="1"/>
    </xf>
    <xf numFmtId="3" fontId="30" fillId="0" borderId="0" xfId="0" applyNumberFormat="1" applyFont="1"/>
    <xf numFmtId="4" fontId="33" fillId="2" borderId="3" xfId="20" applyNumberFormat="1" applyFont="1" applyFill="1" applyBorder="1" applyAlignment="1">
      <alignment vertical="top" wrapText="1" readingOrder="1"/>
    </xf>
    <xf numFmtId="0" fontId="30" fillId="0" borderId="4" xfId="0" applyFont="1" applyBorder="1"/>
    <xf numFmtId="4" fontId="33" fillId="2" borderId="5" xfId="20" applyNumberFormat="1" applyFont="1" applyFill="1" applyBorder="1" applyAlignment="1">
      <alignment vertical="top" wrapText="1" readingOrder="1"/>
    </xf>
    <xf numFmtId="0" fontId="30" fillId="0" borderId="0" xfId="0" applyFont="1" applyBorder="1"/>
    <xf numFmtId="4" fontId="33" fillId="2" borderId="6" xfId="20" applyNumberFormat="1" applyFont="1" applyFill="1" applyBorder="1" applyAlignment="1">
      <alignment vertical="top" wrapText="1" readingOrder="1"/>
    </xf>
    <xf numFmtId="0" fontId="30" fillId="0" borderId="2" xfId="0" applyFont="1" applyBorder="1"/>
    <xf numFmtId="0" fontId="9" fillId="0" borderId="7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top" wrapText="1"/>
    </xf>
    <xf numFmtId="187" fontId="13" fillId="0" borderId="7" xfId="20" applyNumberFormat="1" applyFont="1" applyBorder="1" applyAlignment="1">
      <alignment horizontal="center" vertical="top" textRotation="90" wrapText="1"/>
    </xf>
    <xf numFmtId="0" fontId="34" fillId="0" borderId="7" xfId="0" applyFont="1" applyFill="1" applyBorder="1" applyAlignment="1">
      <alignment horizontal="center" vertical="top" wrapText="1"/>
    </xf>
    <xf numFmtId="4" fontId="33" fillId="7" borderId="3" xfId="20" applyNumberFormat="1" applyFont="1" applyFill="1" applyBorder="1" applyAlignment="1">
      <alignment vertical="top" wrapText="1" readingOrder="1"/>
    </xf>
    <xf numFmtId="0" fontId="11" fillId="0" borderId="6" xfId="0" applyFont="1" applyFill="1" applyBorder="1" applyAlignment="1">
      <alignment horizontal="left" vertical="top" wrapText="1"/>
    </xf>
    <xf numFmtId="43" fontId="14" fillId="0" borderId="6" xfId="20" applyFont="1" applyBorder="1" applyAlignment="1">
      <alignment horizontal="center" vertical="top" textRotation="90" wrapText="1"/>
    </xf>
    <xf numFmtId="0" fontId="31" fillId="0" borderId="6" xfId="0" applyFont="1" applyFill="1" applyBorder="1" applyAlignment="1">
      <alignment horizontal="left" vertical="top" wrapText="1"/>
    </xf>
    <xf numFmtId="4" fontId="33" fillId="2" borderId="7" xfId="20" applyNumberFormat="1" applyFont="1" applyFill="1" applyBorder="1" applyAlignment="1">
      <alignment vertical="top" wrapText="1" readingOrder="1"/>
    </xf>
    <xf numFmtId="4" fontId="33" fillId="7" borderId="6" xfId="20" applyNumberFormat="1" applyFont="1" applyFill="1" applyBorder="1" applyAlignment="1">
      <alignment vertical="center" wrapText="1" readingOrder="1"/>
    </xf>
    <xf numFmtId="0" fontId="14" fillId="0" borderId="6" xfId="0" applyFont="1" applyBorder="1"/>
    <xf numFmtId="0" fontId="30" fillId="0" borderId="6" xfId="0" applyFont="1" applyBorder="1"/>
    <xf numFmtId="4" fontId="35" fillId="0" borderId="0" xfId="0" applyNumberFormat="1" applyFont="1"/>
    <xf numFmtId="0" fontId="9" fillId="0" borderId="0" xfId="0" applyFont="1"/>
    <xf numFmtId="3" fontId="9" fillId="2" borderId="1" xfId="20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3" fontId="11" fillId="7" borderId="1" xfId="20" applyNumberFormat="1" applyFont="1" applyFill="1" applyBorder="1" applyAlignment="1">
      <alignment vertical="top" wrapText="1" readingOrder="1"/>
    </xf>
    <xf numFmtId="43" fontId="11" fillId="0" borderId="1" xfId="20" applyFont="1" applyBorder="1" applyAlignment="1">
      <alignment horizontal="center" vertical="top" textRotation="90" wrapText="1"/>
    </xf>
    <xf numFmtId="0" fontId="9" fillId="0" borderId="7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vertical="top" wrapText="1"/>
    </xf>
    <xf numFmtId="0" fontId="30" fillId="0" borderId="1" xfId="0" applyFont="1" applyBorder="1"/>
    <xf numFmtId="3" fontId="9" fillId="7" borderId="1" xfId="20" applyNumberFormat="1" applyFont="1" applyFill="1" applyBorder="1" applyAlignment="1">
      <alignment vertical="top" wrapText="1" readingOrder="1"/>
    </xf>
    <xf numFmtId="0" fontId="9" fillId="0" borderId="5" xfId="0" applyFont="1" applyFill="1" applyBorder="1" applyAlignment="1">
      <alignment vertical="top" textRotation="90" wrapText="1"/>
    </xf>
    <xf numFmtId="187" fontId="9" fillId="0" borderId="7" xfId="20" applyNumberFormat="1" applyFont="1" applyBorder="1" applyAlignment="1">
      <alignment vertical="top" textRotation="90" wrapText="1"/>
    </xf>
    <xf numFmtId="0" fontId="9" fillId="0" borderId="7" xfId="0" applyFont="1" applyFill="1" applyBorder="1" applyAlignment="1">
      <alignment vertical="top" textRotation="90" wrapText="1"/>
    </xf>
    <xf numFmtId="0" fontId="9" fillId="0" borderId="6" xfId="0" applyFont="1" applyFill="1" applyBorder="1" applyAlignment="1">
      <alignment vertical="top" textRotation="90" wrapText="1"/>
    </xf>
    <xf numFmtId="0" fontId="36" fillId="0" borderId="0" xfId="0" applyFont="1"/>
    <xf numFmtId="0" fontId="11" fillId="7" borderId="1" xfId="0" applyFont="1" applyFill="1" applyBorder="1" applyAlignment="1">
      <alignment horizontal="center" vertical="center" wrapText="1" readingOrder="1"/>
    </xf>
    <xf numFmtId="3" fontId="9" fillId="7" borderId="1" xfId="20" applyNumberFormat="1" applyFont="1" applyFill="1" applyBorder="1" applyAlignment="1">
      <alignment vertical="center" wrapText="1" readingOrder="1"/>
    </xf>
    <xf numFmtId="0" fontId="11" fillId="0" borderId="1" xfId="0" applyFont="1" applyBorder="1"/>
    <xf numFmtId="0" fontId="15" fillId="0" borderId="0" xfId="0" applyFont="1"/>
    <xf numFmtId="3" fontId="0" fillId="0" borderId="0" xfId="0" applyNumberFormat="1"/>
    <xf numFmtId="0" fontId="37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 textRotation="90"/>
    </xf>
    <xf numFmtId="0" fontId="37" fillId="0" borderId="1" xfId="0" applyFont="1" applyBorder="1" applyAlignment="1">
      <alignment vertical="center"/>
    </xf>
    <xf numFmtId="187" fontId="37" fillId="0" borderId="1" xfId="20" applyNumberFormat="1" applyFont="1" applyFill="1" applyBorder="1" applyAlignment="1">
      <alignment horizontal="left" vertical="top" wrapText="1"/>
    </xf>
    <xf numFmtId="3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top"/>
    </xf>
    <xf numFmtId="187" fontId="37" fillId="7" borderId="1" xfId="20" applyNumberFormat="1" applyFont="1" applyFill="1" applyBorder="1" applyAlignment="1">
      <alignment horizontal="center" vertical="top" wrapText="1"/>
    </xf>
    <xf numFmtId="187" fontId="37" fillId="7" borderId="5" xfId="20" applyNumberFormat="1" applyFont="1" applyFill="1" applyBorder="1" applyAlignment="1">
      <alignment horizontal="center" vertical="center" wrapText="1"/>
    </xf>
    <xf numFmtId="187" fontId="37" fillId="7" borderId="1" xfId="20" applyNumberFormat="1" applyFont="1" applyFill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left" vertical="top" wrapText="1"/>
    </xf>
    <xf numFmtId="3" fontId="37" fillId="0" borderId="1" xfId="0" applyNumberFormat="1" applyFont="1" applyBorder="1" applyAlignment="1">
      <alignment horizontal="right" vertical="center"/>
    </xf>
    <xf numFmtId="187" fontId="37" fillId="7" borderId="1" xfId="20" applyNumberFormat="1" applyFont="1" applyFill="1" applyBorder="1" applyAlignment="1">
      <alignment horizontal="right" vertical="center" wrapText="1"/>
    </xf>
    <xf numFmtId="3" fontId="37" fillId="0" borderId="1" xfId="0" applyNumberFormat="1" applyFont="1" applyBorder="1" applyAlignment="1">
      <alignment horizontal="center" vertical="center" textRotation="90"/>
    </xf>
    <xf numFmtId="187" fontId="37" fillId="7" borderId="5" xfId="20" applyNumberFormat="1" applyFont="1" applyFill="1" applyBorder="1" applyAlignment="1">
      <alignment vertical="center" wrapText="1"/>
    </xf>
    <xf numFmtId="0" fontId="37" fillId="0" borderId="6" xfId="0" applyFont="1" applyBorder="1" applyAlignment="1">
      <alignment horizontal="left" vertical="top" wrapText="1" indent="1"/>
    </xf>
    <xf numFmtId="17" fontId="37" fillId="0" borderId="1" xfId="0" applyNumberFormat="1" applyFont="1" applyBorder="1" applyAlignment="1">
      <alignment vertical="center" textRotation="90" wrapText="1"/>
    </xf>
    <xf numFmtId="0" fontId="37" fillId="0" borderId="1" xfId="0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textRotation="90" wrapText="1"/>
    </xf>
    <xf numFmtId="0" fontId="37" fillId="0" borderId="1" xfId="0" applyFont="1" applyBorder="1" applyAlignment="1">
      <alignment horizontal="left" vertical="center" textRotation="90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top" wrapText="1"/>
    </xf>
    <xf numFmtId="0" fontId="37" fillId="0" borderId="1" xfId="88" applyFont="1" applyBorder="1" applyAlignment="1">
      <alignment vertical="top" wrapText="1"/>
    </xf>
    <xf numFmtId="0" fontId="37" fillId="0" borderId="1" xfId="0" applyFont="1" applyBorder="1" applyAlignment="1">
      <alignment horizontal="left" vertical="center"/>
    </xf>
    <xf numFmtId="17" fontId="37" fillId="0" borderId="1" xfId="0" applyNumberFormat="1" applyFont="1" applyBorder="1" applyAlignment="1">
      <alignment vertical="center" wrapText="1"/>
    </xf>
    <xf numFmtId="187" fontId="37" fillId="0" borderId="5" xfId="20" applyNumberFormat="1" applyFont="1" applyFill="1" applyBorder="1" applyAlignment="1">
      <alignment vertical="center" wrapText="1"/>
    </xf>
    <xf numFmtId="187" fontId="37" fillId="0" borderId="7" xfId="2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top" wrapText="1" indent="1"/>
    </xf>
    <xf numFmtId="0" fontId="17" fillId="2" borderId="1" xfId="0" applyFont="1" applyFill="1" applyBorder="1" applyAlignment="1">
      <alignment vertical="top" wrapText="1"/>
    </xf>
    <xf numFmtId="3" fontId="38" fillId="0" borderId="1" xfId="20" applyNumberFormat="1" applyFont="1" applyFill="1" applyBorder="1" applyAlignment="1">
      <alignment vertical="center" wrapText="1" readingOrder="1"/>
    </xf>
    <xf numFmtId="17" fontId="37" fillId="0" borderId="5" xfId="0" applyNumberFormat="1" applyFont="1" applyBorder="1" applyAlignment="1">
      <alignment vertical="center" textRotation="90" wrapText="1"/>
    </xf>
    <xf numFmtId="187" fontId="37" fillId="0" borderId="1" xfId="20" applyNumberFormat="1" applyFont="1" applyFill="1" applyBorder="1" applyAlignment="1">
      <alignment horizontal="left" vertical="center" wrapText="1"/>
    </xf>
    <xf numFmtId="187" fontId="37" fillId="0" borderId="1" xfId="20" applyNumberFormat="1" applyFont="1" applyFill="1" applyBorder="1" applyAlignment="1">
      <alignment vertical="center" wrapText="1"/>
    </xf>
    <xf numFmtId="49" fontId="37" fillId="0" borderId="1" xfId="20" applyNumberFormat="1" applyFont="1" applyFill="1" applyBorder="1" applyAlignment="1">
      <alignment horizontal="left" vertical="top" wrapText="1"/>
    </xf>
    <xf numFmtId="0" fontId="38" fillId="7" borderId="6" xfId="0" applyFont="1" applyFill="1" applyBorder="1" applyAlignment="1">
      <alignment horizontal="center" vertical="top" wrapText="1" readingOrder="1"/>
    </xf>
    <xf numFmtId="3" fontId="38" fillId="7" borderId="1" xfId="20" applyNumberFormat="1" applyFont="1" applyFill="1" applyBorder="1" applyAlignment="1">
      <alignment vertical="center" wrapText="1" readingOrder="1"/>
    </xf>
    <xf numFmtId="0" fontId="39" fillId="0" borderId="1" xfId="0" applyFont="1" applyFill="1" applyBorder="1" applyAlignment="1">
      <alignment horizontal="left" vertical="center" textRotation="90" wrapText="1"/>
    </xf>
    <xf numFmtId="0" fontId="39" fillId="0" borderId="1" xfId="0" applyFont="1" applyFill="1" applyBorder="1" applyAlignment="1">
      <alignment horizontal="left" vertical="center" wrapText="1"/>
    </xf>
    <xf numFmtId="43" fontId="40" fillId="0" borderId="1" xfId="20" applyFont="1" applyBorder="1" applyAlignment="1">
      <alignment horizontal="center" vertical="center" textRotation="90" wrapText="1"/>
    </xf>
    <xf numFmtId="0" fontId="41" fillId="0" borderId="0" xfId="0" applyFont="1"/>
    <xf numFmtId="187" fontId="37" fillId="0" borderId="1" xfId="20" applyNumberFormat="1" applyFont="1" applyFill="1" applyBorder="1" applyAlignment="1">
      <alignment horizontal="left" vertical="top" wrapText="1" shrinkToFit="1"/>
    </xf>
    <xf numFmtId="187" fontId="37" fillId="7" borderId="1" xfId="2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top" wrapText="1"/>
    </xf>
    <xf numFmtId="3" fontId="37" fillId="0" borderId="1" xfId="0" applyNumberFormat="1" applyFont="1" applyBorder="1" applyAlignment="1">
      <alignment horizontal="center" vertical="top"/>
    </xf>
    <xf numFmtId="0" fontId="37" fillId="0" borderId="1" xfId="0" applyFont="1" applyFill="1" applyBorder="1" applyAlignment="1">
      <alignment vertical="center" textRotation="90"/>
    </xf>
    <xf numFmtId="3" fontId="37" fillId="0" borderId="1" xfId="0" applyNumberFormat="1" applyFont="1" applyFill="1" applyBorder="1" applyAlignment="1">
      <alignment horizontal="left" vertical="top" wrapText="1"/>
    </xf>
    <xf numFmtId="3" fontId="37" fillId="0" borderId="1" xfId="0" applyNumberFormat="1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center" textRotation="90"/>
    </xf>
    <xf numFmtId="3" fontId="37" fillId="0" borderId="1" xfId="0" applyNumberFormat="1" applyFont="1" applyFill="1" applyBorder="1" applyAlignment="1">
      <alignment horizontal="center" vertical="center" textRotation="90"/>
    </xf>
    <xf numFmtId="0" fontId="37" fillId="0" borderId="1" xfId="0" applyFont="1" applyFill="1" applyBorder="1" applyAlignment="1">
      <alignment horizontal="center" vertical="center" wrapText="1"/>
    </xf>
    <xf numFmtId="0" fontId="41" fillId="0" borderId="0" xfId="0" applyFont="1" applyFill="1"/>
    <xf numFmtId="3" fontId="37" fillId="8" borderId="1" xfId="0" applyNumberFormat="1" applyFont="1" applyFill="1" applyBorder="1" applyAlignment="1">
      <alignment horizontal="right" vertical="top" wrapText="1"/>
    </xf>
    <xf numFmtId="3" fontId="37" fillId="8" borderId="1" xfId="0" applyNumberFormat="1" applyFont="1" applyFill="1" applyBorder="1" applyAlignment="1">
      <alignment horizontal="center" vertical="top"/>
    </xf>
    <xf numFmtId="0" fontId="37" fillId="0" borderId="6" xfId="0" applyFont="1" applyBorder="1" applyAlignment="1">
      <alignment vertical="center" textRotation="90"/>
    </xf>
    <xf numFmtId="3" fontId="37" fillId="8" borderId="1" xfId="0" applyNumberFormat="1" applyFont="1" applyFill="1" applyBorder="1" applyAlignment="1">
      <alignment horizontal="right" vertical="top" wrapText="1"/>
    </xf>
    <xf numFmtId="3" fontId="37" fillId="8" borderId="1" xfId="0" applyNumberFormat="1" applyFont="1" applyFill="1" applyBorder="1" applyAlignment="1">
      <alignment horizontal="center" vertical="top"/>
    </xf>
    <xf numFmtId="3" fontId="37" fillId="8" borderId="1" xfId="0" applyNumberFormat="1" applyFont="1" applyFill="1" applyBorder="1" applyAlignment="1">
      <alignment horizontal="center" vertical="center"/>
    </xf>
    <xf numFmtId="3" fontId="37" fillId="9" borderId="1" xfId="0" applyNumberFormat="1" applyFont="1" applyFill="1" applyBorder="1" applyAlignment="1">
      <alignment horizontal="center" vertical="center" wrapText="1"/>
    </xf>
    <xf numFmtId="3" fontId="37" fillId="9" borderId="1" xfId="0" applyNumberFormat="1" applyFont="1" applyFill="1" applyBorder="1" applyAlignment="1">
      <alignment horizontal="center" vertical="center"/>
    </xf>
    <xf numFmtId="3" fontId="37" fillId="9" borderId="1" xfId="0" applyNumberFormat="1" applyFont="1" applyFill="1" applyBorder="1" applyAlignment="1">
      <alignment horizontal="left" vertical="top" textRotation="90"/>
    </xf>
    <xf numFmtId="3" fontId="37" fillId="9" borderId="1" xfId="0" applyNumberFormat="1" applyFont="1" applyFill="1" applyBorder="1" applyAlignment="1">
      <alignment horizontal="center" vertical="center" textRotation="90"/>
    </xf>
    <xf numFmtId="0" fontId="17" fillId="0" borderId="0" xfId="0" applyFont="1"/>
    <xf numFmtId="0" fontId="39" fillId="0" borderId="0" xfId="0" applyFont="1"/>
    <xf numFmtId="0" fontId="37" fillId="0" borderId="0" xfId="0" applyFont="1" applyFill="1"/>
    <xf numFmtId="0" fontId="30" fillId="0" borderId="0" xfId="0" applyFont="1" applyFill="1"/>
    <xf numFmtId="0" fontId="37" fillId="0" borderId="1" xfId="0" applyFont="1" applyBorder="1"/>
    <xf numFmtId="0" fontId="37" fillId="0" borderId="0" xfId="0" applyFont="1"/>
    <xf numFmtId="0" fontId="19" fillId="0" borderId="0" xfId="0" applyFont="1"/>
    <xf numFmtId="0" fontId="16" fillId="0" borderId="0" xfId="0" applyFont="1"/>
    <xf numFmtId="0" fontId="42" fillId="0" borderId="0" xfId="0" applyFont="1"/>
    <xf numFmtId="3" fontId="19" fillId="0" borderId="0" xfId="0" applyNumberFormat="1" applyFont="1"/>
    <xf numFmtId="43" fontId="19" fillId="0" borderId="0" xfId="0" applyNumberFormat="1" applyFont="1"/>
    <xf numFmtId="3" fontId="37" fillId="0" borderId="0" xfId="0" applyNumberFormat="1" applyFont="1"/>
    <xf numFmtId="0" fontId="37" fillId="0" borderId="5" xfId="0" applyFont="1" applyBorder="1"/>
    <xf numFmtId="0" fontId="37" fillId="0" borderId="7" xfId="0" applyFont="1" applyBorder="1"/>
    <xf numFmtId="0" fontId="17" fillId="0" borderId="8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37" fillId="0" borderId="7" xfId="0" applyFont="1" applyBorder="1" applyAlignment="1">
      <alignment vertical="top"/>
    </xf>
    <xf numFmtId="0" fontId="37" fillId="0" borderId="7" xfId="0" applyFont="1" applyBorder="1" applyAlignment="1">
      <alignment vertical="top" wrapText="1"/>
    </xf>
    <xf numFmtId="0" fontId="43" fillId="0" borderId="0" xfId="0" applyNumberFormat="1" applyFont="1"/>
    <xf numFmtId="0" fontId="0" fillId="0" borderId="0" xfId="0" applyNumberFormat="1"/>
    <xf numFmtId="3" fontId="44" fillId="7" borderId="1" xfId="0" applyNumberFormat="1" applyFont="1" applyFill="1" applyBorder="1" applyAlignment="1">
      <alignment horizontal="right" vertical="top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/>
    </xf>
    <xf numFmtId="0" fontId="45" fillId="0" borderId="0" xfId="0" applyFont="1" applyAlignment="1"/>
    <xf numFmtId="0" fontId="46" fillId="0" borderId="0" xfId="0" applyFont="1"/>
    <xf numFmtId="0" fontId="35" fillId="0" borderId="0" xfId="0" applyNumberFormat="1" applyFont="1"/>
    <xf numFmtId="0" fontId="46" fillId="0" borderId="0" xfId="0" applyNumberFormat="1" applyFont="1"/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3" fontId="44" fillId="7" borderId="9" xfId="0" applyNumberFormat="1" applyFont="1" applyFill="1" applyBorder="1" applyAlignment="1">
      <alignment horizontal="right" vertical="top"/>
    </xf>
    <xf numFmtId="3" fontId="44" fillId="2" borderId="9" xfId="0" applyNumberFormat="1" applyFont="1" applyFill="1" applyBorder="1" applyAlignment="1">
      <alignment horizontal="right" vertical="top"/>
    </xf>
    <xf numFmtId="3" fontId="47" fillId="7" borderId="1" xfId="20" applyNumberFormat="1" applyFont="1" applyFill="1" applyBorder="1" applyAlignment="1">
      <alignment vertical="center" wrapText="1" readingOrder="1"/>
    </xf>
    <xf numFmtId="0" fontId="43" fillId="0" borderId="0" xfId="0" applyFont="1"/>
    <xf numFmtId="0" fontId="43" fillId="2" borderId="0" xfId="0" applyFont="1" applyFill="1"/>
    <xf numFmtId="0" fontId="48" fillId="0" borderId="10" xfId="0" applyFont="1" applyBorder="1" applyAlignment="1">
      <alignment horizontal="left" vertical="top" wrapText="1"/>
    </xf>
    <xf numFmtId="3" fontId="48" fillId="10" borderId="10" xfId="0" applyNumberFormat="1" applyFont="1" applyFill="1" applyBorder="1" applyAlignment="1">
      <alignment horizontal="left" vertical="top" wrapText="1" readingOrder="1"/>
    </xf>
    <xf numFmtId="0" fontId="48" fillId="0" borderId="0" xfId="0" applyFont="1" applyAlignment="1"/>
    <xf numFmtId="0" fontId="43" fillId="0" borderId="0" xfId="0" applyFont="1" applyAlignment="1"/>
    <xf numFmtId="0" fontId="47" fillId="0" borderId="11" xfId="0" applyFont="1" applyFill="1" applyBorder="1" applyAlignment="1">
      <alignment horizontal="right" vertical="top" wrapText="1" readingOrder="1"/>
    </xf>
    <xf numFmtId="3" fontId="47" fillId="0" borderId="10" xfId="0" applyNumberFormat="1" applyFont="1" applyFill="1" applyBorder="1" applyAlignment="1">
      <alignment horizontal="right" vertical="top" wrapText="1" readingOrder="1"/>
    </xf>
    <xf numFmtId="0" fontId="44" fillId="2" borderId="10" xfId="0" applyFont="1" applyFill="1" applyBorder="1" applyAlignment="1">
      <alignment horizontal="left" vertical="top" wrapText="1"/>
    </xf>
    <xf numFmtId="190" fontId="44" fillId="2" borderId="12" xfId="0" applyNumberFormat="1" applyFont="1" applyFill="1" applyBorder="1" applyAlignment="1">
      <alignment horizontal="center" vertical="top" textRotation="90" wrapText="1"/>
    </xf>
    <xf numFmtId="3" fontId="30" fillId="2" borderId="10" xfId="0" applyNumberFormat="1" applyFont="1" applyFill="1" applyBorder="1" applyAlignment="1">
      <alignment horizontal="center" vertical="top" textRotation="90"/>
    </xf>
    <xf numFmtId="191" fontId="44" fillId="2" borderId="13" xfId="0" applyNumberFormat="1" applyFont="1" applyFill="1" applyBorder="1" applyAlignment="1">
      <alignment horizontal="center" vertical="top" textRotation="90" wrapText="1"/>
    </xf>
    <xf numFmtId="191" fontId="44" fillId="2" borderId="10" xfId="0" applyNumberFormat="1" applyFont="1" applyFill="1" applyBorder="1" applyAlignment="1">
      <alignment horizontal="center" vertical="top" textRotation="90" wrapText="1"/>
    </xf>
    <xf numFmtId="0" fontId="47" fillId="0" borderId="0" xfId="0" applyFont="1" applyAlignment="1"/>
    <xf numFmtId="0" fontId="44" fillId="0" borderId="0" xfId="0" applyFont="1"/>
    <xf numFmtId="190" fontId="44" fillId="2" borderId="10" xfId="0" applyNumberFormat="1" applyFont="1" applyFill="1" applyBorder="1" applyAlignment="1">
      <alignment horizontal="center" vertical="top" textRotation="90" wrapText="1"/>
    </xf>
    <xf numFmtId="190" fontId="44" fillId="2" borderId="10" xfId="0" applyNumberFormat="1" applyFont="1" applyFill="1" applyBorder="1" applyAlignment="1">
      <alignment horizontal="center" vertical="top" textRotation="180" wrapText="1"/>
    </xf>
    <xf numFmtId="0" fontId="27" fillId="0" borderId="0" xfId="0" applyFont="1"/>
    <xf numFmtId="3" fontId="9" fillId="0" borderId="1" xfId="20" applyNumberFormat="1" applyFont="1" applyFill="1" applyBorder="1" applyAlignment="1">
      <alignment vertical="top" wrapText="1" readingOrder="1"/>
    </xf>
    <xf numFmtId="3" fontId="9" fillId="0" borderId="1" xfId="20" applyNumberFormat="1" applyFont="1" applyFill="1" applyBorder="1" applyAlignment="1">
      <alignment horizontal="left" vertical="top" wrapText="1" readingOrder="1"/>
    </xf>
    <xf numFmtId="3" fontId="9" fillId="2" borderId="14" xfId="20" applyNumberFormat="1" applyFont="1" applyFill="1" applyBorder="1" applyAlignment="1">
      <alignment vertical="top" wrapText="1" readingOrder="1"/>
    </xf>
    <xf numFmtId="0" fontId="21" fillId="2" borderId="5" xfId="0" applyFont="1" applyFill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9" fillId="0" borderId="1" xfId="88" applyFont="1" applyBorder="1" applyAlignment="1">
      <alignment horizontal="left" vertical="top" wrapText="1"/>
    </xf>
    <xf numFmtId="3" fontId="9" fillId="0" borderId="1" xfId="88" applyNumberFormat="1" applyFont="1" applyBorder="1" applyAlignment="1">
      <alignment horizontal="left" vertical="top" wrapText="1"/>
    </xf>
    <xf numFmtId="0" fontId="30" fillId="2" borderId="1" xfId="0" applyFont="1" applyFill="1" applyBorder="1" applyAlignment="1">
      <alignment horizontal="center" vertical="top" wrapText="1" shrinkToFit="1"/>
    </xf>
    <xf numFmtId="0" fontId="48" fillId="0" borderId="1" xfId="0" applyFont="1" applyBorder="1" applyAlignment="1">
      <alignment vertical="top" wrapText="1" readingOrder="1"/>
    </xf>
    <xf numFmtId="3" fontId="48" fillId="2" borderId="1" xfId="20" applyNumberFormat="1" applyFont="1" applyFill="1" applyBorder="1" applyAlignment="1">
      <alignment vertical="top" wrapText="1" readingOrder="1"/>
    </xf>
    <xf numFmtId="0" fontId="30" fillId="0" borderId="1" xfId="0" applyFont="1" applyFill="1" applyBorder="1" applyAlignment="1">
      <alignment vertical="top" textRotation="90" wrapText="1"/>
    </xf>
    <xf numFmtId="0" fontId="30" fillId="0" borderId="1" xfId="0" applyFont="1" applyFill="1" applyBorder="1" applyAlignment="1">
      <alignment vertical="top" wrapText="1"/>
    </xf>
    <xf numFmtId="187" fontId="30" fillId="0" borderId="1" xfId="20" applyNumberFormat="1" applyFont="1" applyBorder="1" applyAlignment="1">
      <alignment vertical="top" textRotation="90" wrapText="1"/>
    </xf>
    <xf numFmtId="43" fontId="30" fillId="0" borderId="1" xfId="20" applyFont="1" applyBorder="1" applyAlignment="1">
      <alignment vertical="top" textRotation="90" wrapText="1"/>
    </xf>
    <xf numFmtId="187" fontId="30" fillId="0" borderId="1" xfId="0" applyNumberFormat="1" applyFont="1" applyFill="1" applyBorder="1" applyAlignment="1">
      <alignment vertical="top" wrapText="1"/>
    </xf>
    <xf numFmtId="3" fontId="9" fillId="2" borderId="1" xfId="88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9" fillId="0" borderId="1" xfId="88" applyFont="1" applyBorder="1" applyAlignment="1">
      <alignment horizontal="center" vertical="top" wrapText="1"/>
    </xf>
    <xf numFmtId="0" fontId="17" fillId="0" borderId="7" xfId="88" applyFont="1" applyBorder="1" applyAlignment="1">
      <alignment horizontal="left" vertical="top" wrapText="1"/>
    </xf>
    <xf numFmtId="0" fontId="17" fillId="0" borderId="7" xfId="88" applyFont="1" applyBorder="1" applyAlignment="1">
      <alignment horizontal="center" vertical="top" wrapText="1"/>
    </xf>
    <xf numFmtId="0" fontId="30" fillId="0" borderId="6" xfId="0" applyFont="1" applyFill="1" applyBorder="1" applyAlignment="1">
      <alignment horizontal="left" vertical="top" wrapText="1"/>
    </xf>
    <xf numFmtId="3" fontId="47" fillId="0" borderId="6" xfId="20" applyNumberFormat="1" applyFont="1" applyFill="1" applyBorder="1" applyAlignment="1">
      <alignment vertical="center" wrapText="1" readingOrder="1"/>
    </xf>
    <xf numFmtId="0" fontId="30" fillId="2" borderId="1" xfId="0" applyFont="1" applyFill="1" applyBorder="1"/>
    <xf numFmtId="0" fontId="49" fillId="2" borderId="1" xfId="0" applyFont="1" applyFill="1" applyBorder="1" applyAlignment="1">
      <alignment horizontal="left"/>
    </xf>
    <xf numFmtId="187" fontId="50" fillId="2" borderId="1" xfId="0" applyNumberFormat="1" applyFont="1" applyFill="1" applyBorder="1"/>
    <xf numFmtId="0" fontId="50" fillId="2" borderId="0" xfId="0" applyFont="1" applyFill="1"/>
    <xf numFmtId="3" fontId="50" fillId="2" borderId="1" xfId="0" applyNumberFormat="1" applyFont="1" applyFill="1" applyBorder="1"/>
    <xf numFmtId="0" fontId="49" fillId="2" borderId="1" xfId="0" applyFont="1" applyFill="1" applyBorder="1" applyAlignment="1">
      <alignment horizontal="center"/>
    </xf>
    <xf numFmtId="0" fontId="50" fillId="2" borderId="1" xfId="0" applyFont="1" applyFill="1" applyBorder="1"/>
    <xf numFmtId="3" fontId="50" fillId="2" borderId="1" xfId="0" applyNumberFormat="1" applyFont="1" applyFill="1" applyBorder="1" applyAlignment="1">
      <alignment horizontal="right"/>
    </xf>
    <xf numFmtId="0" fontId="9" fillId="9" borderId="0" xfId="0" applyFont="1" applyFill="1"/>
    <xf numFmtId="3" fontId="9" fillId="9" borderId="0" xfId="0" applyNumberFormat="1" applyFont="1" applyFill="1"/>
    <xf numFmtId="187" fontId="50" fillId="2" borderId="0" xfId="20" applyNumberFormat="1" applyFont="1" applyFill="1"/>
    <xf numFmtId="0" fontId="30" fillId="9" borderId="0" xfId="0" applyFont="1" applyFill="1"/>
    <xf numFmtId="3" fontId="30" fillId="9" borderId="0" xfId="0" applyNumberFormat="1" applyFont="1" applyFill="1"/>
    <xf numFmtId="0" fontId="51" fillId="11" borderId="0" xfId="0" applyFont="1" applyFill="1" applyAlignment="1">
      <alignment vertical="center"/>
    </xf>
    <xf numFmtId="0" fontId="51" fillId="11" borderId="0" xfId="0" applyFont="1" applyFill="1"/>
    <xf numFmtId="187" fontId="42" fillId="0" borderId="0" xfId="0" applyNumberFormat="1" applyFont="1"/>
    <xf numFmtId="3" fontId="48" fillId="7" borderId="1" xfId="20" applyNumberFormat="1" applyFont="1" applyFill="1" applyBorder="1" applyAlignment="1">
      <alignment vertical="center" wrapText="1" readingOrder="1"/>
    </xf>
    <xf numFmtId="0" fontId="10" fillId="0" borderId="2" xfId="0" applyFont="1" applyBorder="1" applyAlignment="1">
      <alignment vertical="center"/>
    </xf>
    <xf numFmtId="3" fontId="9" fillId="0" borderId="0" xfId="0" applyNumberFormat="1" applyFont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37" fillId="0" borderId="6" xfId="0" applyFont="1" applyFill="1" applyBorder="1" applyAlignment="1">
      <alignment horizontal="left" vertical="top" wrapText="1"/>
    </xf>
    <xf numFmtId="0" fontId="37" fillId="0" borderId="6" xfId="88" applyFont="1" applyFill="1" applyBorder="1" applyAlignment="1">
      <alignment horizontal="left" vertical="top" wrapText="1"/>
    </xf>
    <xf numFmtId="17" fontId="37" fillId="0" borderId="6" xfId="0" applyNumberFormat="1" applyFont="1" applyFill="1" applyBorder="1" applyAlignment="1">
      <alignment horizontal="center" vertical="center" textRotation="90" wrapText="1"/>
    </xf>
    <xf numFmtId="0" fontId="3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top" wrapText="1"/>
    </xf>
    <xf numFmtId="0" fontId="37" fillId="0" borderId="6" xfId="0" applyFont="1" applyFill="1" applyBorder="1" applyAlignment="1">
      <alignment horizontal="center" vertical="center" textRotation="90"/>
    </xf>
    <xf numFmtId="0" fontId="37" fillId="0" borderId="6" xfId="0" applyFont="1" applyBorder="1" applyAlignment="1">
      <alignment horizontal="center" vertical="center" textRotation="90"/>
    </xf>
    <xf numFmtId="43" fontId="17" fillId="0" borderId="5" xfId="20" applyFont="1" applyBorder="1" applyAlignment="1">
      <alignment horizontal="center" vertical="top" textRotation="90" wrapText="1"/>
    </xf>
    <xf numFmtId="43" fontId="17" fillId="0" borderId="7" xfId="20" applyFont="1" applyBorder="1" applyAlignment="1">
      <alignment horizontal="center" vertical="top" textRotation="90" wrapText="1"/>
    </xf>
    <xf numFmtId="0" fontId="37" fillId="0" borderId="5" xfId="0" applyFont="1" applyBorder="1" applyAlignment="1">
      <alignment horizontal="center" vertical="center" textRotation="90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top" textRotation="90" wrapText="1"/>
    </xf>
    <xf numFmtId="0" fontId="17" fillId="0" borderId="7" xfId="0" applyFont="1" applyFill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horizontal="center" vertical="top" textRotation="90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37" fillId="0" borderId="7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0" fontId="37" fillId="2" borderId="6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 inden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textRotation="90"/>
    </xf>
    <xf numFmtId="17" fontId="37" fillId="0" borderId="1" xfId="0" applyNumberFormat="1" applyFont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top" textRotation="90"/>
    </xf>
    <xf numFmtId="0" fontId="17" fillId="0" borderId="16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52" fillId="0" borderId="0" xfId="0" applyFont="1"/>
    <xf numFmtId="0" fontId="30" fillId="0" borderId="7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textRotation="90" wrapText="1"/>
    </xf>
    <xf numFmtId="43" fontId="53" fillId="0" borderId="7" xfId="20" applyFont="1" applyBorder="1" applyAlignment="1">
      <alignment horizontal="center" vertical="top" textRotation="90" wrapText="1"/>
    </xf>
    <xf numFmtId="0" fontId="48" fillId="7" borderId="6" xfId="0" applyFont="1" applyFill="1" applyBorder="1" applyAlignment="1">
      <alignment horizontal="center" vertical="top" wrapText="1" readingOrder="1"/>
    </xf>
    <xf numFmtId="3" fontId="48" fillId="7" borderId="1" xfId="20" applyNumberFormat="1" applyFont="1" applyFill="1" applyBorder="1" applyAlignment="1">
      <alignment vertical="top" wrapText="1" readingOrder="1"/>
    </xf>
    <xf numFmtId="0" fontId="44" fillId="0" borderId="1" xfId="0" applyFont="1" applyFill="1" applyBorder="1" applyAlignment="1">
      <alignment horizontal="left" vertical="top" wrapText="1"/>
    </xf>
    <xf numFmtId="43" fontId="54" fillId="0" borderId="1" xfId="20" applyFont="1" applyBorder="1" applyAlignment="1">
      <alignment horizontal="center" vertical="top" textRotation="90" wrapText="1"/>
    </xf>
    <xf numFmtId="43" fontId="54" fillId="0" borderId="5" xfId="20" applyFont="1" applyBorder="1" applyAlignment="1">
      <alignment horizontal="center" vertical="top" textRotation="90" wrapText="1"/>
    </xf>
    <xf numFmtId="0" fontId="44" fillId="0" borderId="5" xfId="0" applyFont="1" applyFill="1" applyBorder="1" applyAlignment="1">
      <alignment horizontal="left" vertical="top" wrapText="1"/>
    </xf>
    <xf numFmtId="0" fontId="30" fillId="0" borderId="5" xfId="0" applyFont="1" applyBorder="1"/>
    <xf numFmtId="0" fontId="30" fillId="0" borderId="7" xfId="0" applyFont="1" applyBorder="1"/>
    <xf numFmtId="0" fontId="48" fillId="7" borderId="1" xfId="0" applyFont="1" applyFill="1" applyBorder="1" applyAlignment="1">
      <alignment horizontal="center" vertical="top" wrapText="1" readingOrder="1"/>
    </xf>
    <xf numFmtId="0" fontId="53" fillId="0" borderId="6" xfId="0" applyFont="1" applyFill="1" applyBorder="1" applyAlignment="1">
      <alignment horizontal="center" vertical="top" wrapText="1"/>
    </xf>
    <xf numFmtId="43" fontId="53" fillId="0" borderId="5" xfId="20" applyFont="1" applyBorder="1" applyAlignment="1">
      <alignment horizontal="center" vertical="top" textRotation="90" wrapText="1"/>
    </xf>
    <xf numFmtId="0" fontId="47" fillId="7" borderId="1" xfId="0" applyFont="1" applyFill="1" applyBorder="1" applyAlignment="1">
      <alignment horizontal="center" vertical="center" wrapText="1" readingOrder="1"/>
    </xf>
    <xf numFmtId="0" fontId="44" fillId="0" borderId="1" xfId="0" applyFont="1" applyBorder="1"/>
    <xf numFmtId="43" fontId="30" fillId="0" borderId="1" xfId="0" applyNumberFormat="1" applyFont="1" applyBorder="1"/>
    <xf numFmtId="0" fontId="53" fillId="0" borderId="7" xfId="0" applyFont="1" applyFill="1" applyBorder="1" applyAlignment="1">
      <alignment vertical="top" textRotation="90" wrapText="1"/>
    </xf>
    <xf numFmtId="0" fontId="53" fillId="0" borderId="7" xfId="0" applyFont="1" applyFill="1" applyBorder="1" applyAlignment="1">
      <alignment vertical="top" wrapText="1"/>
    </xf>
    <xf numFmtId="0" fontId="53" fillId="0" borderId="5" xfId="0" applyFont="1" applyFill="1" applyBorder="1" applyAlignment="1">
      <alignment vertical="top" textRotation="90" wrapText="1"/>
    </xf>
    <xf numFmtId="0" fontId="30" fillId="0" borderId="6" xfId="0" applyFont="1" applyBorder="1" applyAlignment="1">
      <alignment vertical="top" wrapText="1" readingOrder="1"/>
    </xf>
    <xf numFmtId="0" fontId="17" fillId="0" borderId="1" xfId="0" applyFont="1" applyBorder="1" applyAlignment="1">
      <alignment vertical="top" wrapText="1" readingOrder="1"/>
    </xf>
    <xf numFmtId="3" fontId="17" fillId="2" borderId="1" xfId="20" applyNumberFormat="1" applyFont="1" applyFill="1" applyBorder="1" applyAlignment="1">
      <alignment vertical="top" wrapText="1" readingOrder="1"/>
    </xf>
    <xf numFmtId="0" fontId="38" fillId="0" borderId="1" xfId="0" applyFont="1" applyBorder="1" applyAlignment="1">
      <alignment vertical="top" wrapText="1" readingOrder="1"/>
    </xf>
    <xf numFmtId="3" fontId="38" fillId="2" borderId="1" xfId="20" applyNumberFormat="1" applyFont="1" applyFill="1" applyBorder="1" applyAlignment="1">
      <alignment vertical="top" wrapText="1" readingOrder="1"/>
    </xf>
    <xf numFmtId="0" fontId="17" fillId="0" borderId="5" xfId="0" applyFont="1" applyBorder="1" applyAlignment="1">
      <alignment vertical="top" wrapText="1" readingOrder="1"/>
    </xf>
    <xf numFmtId="0" fontId="37" fillId="12" borderId="1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43" fontId="53" fillId="0" borderId="1" xfId="20" applyFont="1" applyBorder="1" applyAlignment="1">
      <alignment horizontal="center" vertical="top" textRotation="90" wrapText="1"/>
    </xf>
    <xf numFmtId="187" fontId="9" fillId="0" borderId="6" xfId="2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53" fillId="0" borderId="1" xfId="0" applyFont="1" applyFill="1" applyBorder="1" applyAlignment="1">
      <alignment horizontal="center" vertical="top" textRotation="90" wrapText="1"/>
    </xf>
    <xf numFmtId="0" fontId="30" fillId="0" borderId="1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53" fillId="0" borderId="7" xfId="0" applyFont="1" applyFill="1" applyBorder="1" applyAlignment="1">
      <alignment horizontal="center" vertical="top" textRotation="90" wrapText="1"/>
    </xf>
    <xf numFmtId="187" fontId="9" fillId="0" borderId="5" xfId="20" applyNumberFormat="1" applyFont="1" applyFill="1" applyBorder="1" applyAlignment="1">
      <alignment vertical="top" wrapText="1"/>
    </xf>
    <xf numFmtId="0" fontId="48" fillId="0" borderId="6" xfId="0" applyFont="1" applyBorder="1" applyAlignment="1">
      <alignment vertical="top" wrapText="1" readingOrder="1"/>
    </xf>
    <xf numFmtId="0" fontId="53" fillId="0" borderId="5" xfId="0" applyFont="1" applyFill="1" applyBorder="1" applyAlignment="1">
      <alignment horizontal="center" vertical="top" textRotation="90" wrapText="1"/>
    </xf>
    <xf numFmtId="187" fontId="53" fillId="0" borderId="5" xfId="20" applyNumberFormat="1" applyFont="1" applyBorder="1" applyAlignment="1">
      <alignment horizontal="center" vertical="top" textRotation="90" wrapText="1"/>
    </xf>
    <xf numFmtId="187" fontId="54" fillId="0" borderId="1" xfId="20" applyNumberFormat="1" applyFont="1" applyBorder="1" applyAlignment="1">
      <alignment horizontal="center" vertical="top" textRotation="90" wrapText="1"/>
    </xf>
    <xf numFmtId="0" fontId="53" fillId="0" borderId="6" xfId="0" applyFont="1" applyFill="1" applyBorder="1" applyAlignment="1">
      <alignment vertical="top" textRotation="90" wrapText="1"/>
    </xf>
    <xf numFmtId="0" fontId="30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48" fillId="0" borderId="1" xfId="0" applyFont="1" applyFill="1" applyBorder="1" applyAlignment="1">
      <alignment horizontal="center" vertical="top" wrapText="1" readingOrder="1"/>
    </xf>
    <xf numFmtId="3" fontId="48" fillId="0" borderId="1" xfId="20" applyNumberFormat="1" applyFont="1" applyFill="1" applyBorder="1" applyAlignment="1">
      <alignment vertical="top" wrapText="1" readingOrder="1"/>
    </xf>
    <xf numFmtId="0" fontId="9" fillId="0" borderId="1" xfId="0" applyFont="1" applyFill="1" applyBorder="1" applyAlignment="1">
      <alignment horizontal="center" vertical="top" textRotation="90" wrapText="1"/>
    </xf>
    <xf numFmtId="0" fontId="11" fillId="0" borderId="1" xfId="0" applyFont="1" applyFill="1" applyBorder="1" applyAlignment="1">
      <alignment horizontal="center" vertical="top" wrapText="1"/>
    </xf>
    <xf numFmtId="43" fontId="53" fillId="0" borderId="5" xfId="20" applyFont="1" applyBorder="1" applyAlignment="1">
      <alignment vertical="top" textRotation="90" wrapText="1"/>
    </xf>
    <xf numFmtId="43" fontId="53" fillId="0" borderId="7" xfId="20" applyFont="1" applyBorder="1" applyAlignment="1">
      <alignment vertical="top" textRotation="90" wrapText="1"/>
    </xf>
    <xf numFmtId="43" fontId="53" fillId="0" borderId="6" xfId="20" applyFont="1" applyBorder="1" applyAlignment="1">
      <alignment vertical="top" textRotation="90" wrapText="1"/>
    </xf>
    <xf numFmtId="0" fontId="47" fillId="7" borderId="1" xfId="0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textRotation="90"/>
    </xf>
    <xf numFmtId="0" fontId="9" fillId="0" borderId="7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top" wrapText="1"/>
    </xf>
    <xf numFmtId="0" fontId="30" fillId="0" borderId="7" xfId="0" applyFont="1" applyFill="1" applyBorder="1" applyAlignment="1">
      <alignment vertical="top" wrapText="1"/>
    </xf>
    <xf numFmtId="0" fontId="30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 readingOrder="1"/>
    </xf>
    <xf numFmtId="0" fontId="9" fillId="0" borderId="1" xfId="0" applyFont="1" applyFill="1" applyBorder="1" applyAlignment="1">
      <alignment horizontal="left" vertical="top" wrapText="1" readingOrder="1"/>
    </xf>
    <xf numFmtId="0" fontId="9" fillId="0" borderId="1" xfId="0" applyFont="1" applyBorder="1" applyAlignment="1">
      <alignment vertical="top" wrapText="1"/>
    </xf>
    <xf numFmtId="3" fontId="11" fillId="7" borderId="1" xfId="0" applyNumberFormat="1" applyFont="1" applyFill="1" applyBorder="1" applyAlignment="1">
      <alignment vertical="top" wrapText="1"/>
    </xf>
    <xf numFmtId="0" fontId="48" fillId="0" borderId="5" xfId="0" applyFont="1" applyBorder="1" applyAlignment="1">
      <alignment vertical="top" wrapText="1" readingOrder="1"/>
    </xf>
    <xf numFmtId="3" fontId="48" fillId="2" borderId="5" xfId="20" applyNumberFormat="1" applyFont="1" applyFill="1" applyBorder="1" applyAlignment="1">
      <alignment vertical="top" wrapText="1" readingOrder="1"/>
    </xf>
    <xf numFmtId="0" fontId="30" fillId="0" borderId="7" xfId="0" applyFont="1" applyFill="1" applyBorder="1" applyAlignment="1">
      <alignment horizontal="left" vertical="top" wrapText="1"/>
    </xf>
    <xf numFmtId="3" fontId="48" fillId="2" borderId="7" xfId="20" applyNumberFormat="1" applyFont="1" applyFill="1" applyBorder="1" applyAlignment="1">
      <alignment vertical="top" wrapText="1" readingOrder="1"/>
    </xf>
    <xf numFmtId="3" fontId="48" fillId="2" borderId="6" xfId="20" applyNumberFormat="1" applyFont="1" applyFill="1" applyBorder="1" applyAlignment="1">
      <alignment vertical="top" wrapText="1" readingOrder="1"/>
    </xf>
    <xf numFmtId="0" fontId="9" fillId="0" borderId="5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/>
    </xf>
    <xf numFmtId="0" fontId="39" fillId="0" borderId="0" xfId="0" applyFont="1" applyAlignment="1">
      <alignment horizontal="left" vertical="center"/>
    </xf>
    <xf numFmtId="0" fontId="48" fillId="0" borderId="5" xfId="0" applyFont="1" applyFill="1" applyBorder="1" applyAlignment="1">
      <alignment horizontal="center" vertical="top" wrapText="1" readingOrder="1"/>
    </xf>
    <xf numFmtId="0" fontId="48" fillId="0" borderId="6" xfId="0" applyFont="1" applyFill="1" applyBorder="1" applyAlignment="1">
      <alignment horizontal="center" vertical="top" wrapText="1" readingOrder="1"/>
    </xf>
    <xf numFmtId="187" fontId="30" fillId="0" borderId="6" xfId="20" applyNumberFormat="1" applyFont="1" applyBorder="1" applyAlignment="1">
      <alignment horizontal="center" vertical="center" wrapText="1"/>
    </xf>
    <xf numFmtId="187" fontId="30" fillId="0" borderId="6" xfId="20" applyNumberFormat="1" applyFont="1" applyBorder="1" applyAlignment="1">
      <alignment horizontal="center" vertical="top" wrapText="1"/>
    </xf>
    <xf numFmtId="17" fontId="53" fillId="0" borderId="6" xfId="0" applyNumberFormat="1" applyFont="1" applyFill="1" applyBorder="1" applyAlignment="1">
      <alignment horizontal="center" vertical="top" wrapText="1"/>
    </xf>
    <xf numFmtId="187" fontId="9" fillId="0" borderId="1" xfId="20" applyNumberFormat="1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47" fillId="7" borderId="6" xfId="0" applyFont="1" applyFill="1" applyBorder="1" applyAlignment="1">
      <alignment horizontal="center" vertical="center" wrapText="1" readingOrder="1"/>
    </xf>
    <xf numFmtId="3" fontId="48" fillId="7" borderId="6" xfId="20" applyNumberFormat="1" applyFont="1" applyFill="1" applyBorder="1" applyAlignment="1">
      <alignment vertical="center" wrapText="1" readingOrder="1"/>
    </xf>
    <xf numFmtId="0" fontId="44" fillId="0" borderId="6" xfId="0" applyFont="1" applyBorder="1"/>
    <xf numFmtId="43" fontId="54" fillId="0" borderId="6" xfId="20" applyFont="1" applyBorder="1" applyAlignment="1">
      <alignment horizontal="center" vertical="top" textRotation="90" wrapText="1"/>
    </xf>
    <xf numFmtId="0" fontId="30" fillId="0" borderId="0" xfId="0" applyFont="1" applyAlignment="1">
      <alignment vertical="center"/>
    </xf>
    <xf numFmtId="0" fontId="48" fillId="0" borderId="9" xfId="0" applyFont="1" applyBorder="1" applyAlignment="1">
      <alignment vertical="top" wrapText="1" readingOrder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 vertical="center" textRotation="90"/>
    </xf>
    <xf numFmtId="3" fontId="9" fillId="0" borderId="1" xfId="20" applyNumberFormat="1" applyFont="1" applyBorder="1" applyAlignment="1">
      <alignment horizontal="center" vertical="center" textRotation="90" wrapText="1"/>
    </xf>
    <xf numFmtId="0" fontId="48" fillId="7" borderId="5" xfId="0" applyFont="1" applyFill="1" applyBorder="1" applyAlignment="1">
      <alignment horizontal="center" vertical="top" wrapText="1" readingOrder="1"/>
    </xf>
    <xf numFmtId="3" fontId="48" fillId="7" borderId="5" xfId="20" applyNumberFormat="1" applyFont="1" applyFill="1" applyBorder="1" applyAlignment="1">
      <alignment vertical="top" wrapText="1" readingOrder="1"/>
    </xf>
    <xf numFmtId="0" fontId="48" fillId="2" borderId="5" xfId="0" applyFont="1" applyFill="1" applyBorder="1" applyAlignment="1">
      <alignment horizontal="left" vertical="center" wrapText="1" readingOrder="1"/>
    </xf>
    <xf numFmtId="0" fontId="48" fillId="2" borderId="7" xfId="0" applyFont="1" applyFill="1" applyBorder="1" applyAlignment="1">
      <alignment horizontal="left" vertical="center" wrapText="1" readingOrder="1"/>
    </xf>
    <xf numFmtId="0" fontId="48" fillId="2" borderId="6" xfId="0" applyFont="1" applyFill="1" applyBorder="1" applyAlignment="1">
      <alignment horizontal="left" vertical="center" wrapText="1" readingOrder="1"/>
    </xf>
    <xf numFmtId="0" fontId="48" fillId="7" borderId="1" xfId="0" applyFont="1" applyFill="1" applyBorder="1" applyAlignment="1">
      <alignment horizontal="center" vertical="center" wrapText="1" readingOrder="1"/>
    </xf>
    <xf numFmtId="0" fontId="47" fillId="2" borderId="1" xfId="0" applyFont="1" applyFill="1" applyBorder="1" applyAlignment="1">
      <alignment horizontal="left" vertical="top" wrapText="1" readingOrder="1"/>
    </xf>
    <xf numFmtId="0" fontId="48" fillId="2" borderId="5" xfId="0" applyFont="1" applyFill="1" applyBorder="1" applyAlignment="1">
      <alignment horizontal="left" vertical="top" wrapText="1" readingOrder="1"/>
    </xf>
    <xf numFmtId="0" fontId="48" fillId="2" borderId="7" xfId="0" applyFont="1" applyFill="1" applyBorder="1" applyAlignment="1">
      <alignment horizontal="left" vertical="top" wrapText="1" readingOrder="1"/>
    </xf>
    <xf numFmtId="0" fontId="9" fillId="2" borderId="7" xfId="0" applyFont="1" applyFill="1" applyBorder="1" applyAlignment="1">
      <alignment horizontal="left" vertical="top" wrapText="1" readingOrder="1"/>
    </xf>
    <xf numFmtId="3" fontId="9" fillId="2" borderId="7" xfId="20" applyNumberFormat="1" applyFont="1" applyFill="1" applyBorder="1" applyAlignment="1">
      <alignment vertical="top" wrapText="1" readingOrder="1"/>
    </xf>
    <xf numFmtId="0" fontId="9" fillId="2" borderId="6" xfId="0" applyFont="1" applyFill="1" applyBorder="1" applyAlignment="1">
      <alignment horizontal="left" vertical="top" wrapText="1" readingOrder="1"/>
    </xf>
    <xf numFmtId="3" fontId="48" fillId="2" borderId="1" xfId="20" applyNumberFormat="1" applyFont="1" applyFill="1" applyBorder="1" applyAlignment="1">
      <alignment horizontal="center" vertical="top" wrapText="1" readingOrder="1"/>
    </xf>
    <xf numFmtId="0" fontId="48" fillId="2" borderId="6" xfId="0" applyFont="1" applyFill="1" applyBorder="1" applyAlignment="1">
      <alignment horizontal="left" vertical="top" wrapText="1" readingOrder="1"/>
    </xf>
    <xf numFmtId="3" fontId="48" fillId="2" borderId="1" xfId="20" applyNumberFormat="1" applyFont="1" applyFill="1" applyBorder="1" applyAlignment="1">
      <alignment horizontal="right" vertical="center" wrapText="1" readingOrder="1"/>
    </xf>
    <xf numFmtId="0" fontId="48" fillId="2" borderId="1" xfId="0" applyFont="1" applyFill="1" applyBorder="1" applyAlignment="1">
      <alignment horizontal="left" vertical="top" wrapText="1" readingOrder="1"/>
    </xf>
    <xf numFmtId="0" fontId="48" fillId="2" borderId="1" xfId="0" applyFont="1" applyFill="1" applyBorder="1" applyAlignment="1">
      <alignment horizontal="center" vertical="top" wrapText="1" readingOrder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textRotation="90"/>
    </xf>
    <xf numFmtId="0" fontId="30" fillId="0" borderId="1" xfId="0" applyFont="1" applyFill="1" applyBorder="1" applyAlignment="1">
      <alignment horizontal="center" vertical="center" wrapText="1"/>
    </xf>
    <xf numFmtId="0" fontId="36" fillId="0" borderId="1" xfId="0" applyFont="1" applyBorder="1"/>
    <xf numFmtId="0" fontId="48" fillId="7" borderId="5" xfId="0" applyFont="1" applyFill="1" applyBorder="1" applyAlignment="1">
      <alignment horizontal="center" vertical="center" wrapText="1" readingOrder="1"/>
    </xf>
    <xf numFmtId="0" fontId="30" fillId="0" borderId="1" xfId="0" applyFont="1" applyBorder="1" applyAlignment="1">
      <alignment horizontal="center" vertical="center" textRotation="90"/>
    </xf>
    <xf numFmtId="17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 vertical="center"/>
    </xf>
    <xf numFmtId="17" fontId="30" fillId="0" borderId="1" xfId="0" applyNumberFormat="1" applyFont="1" applyFill="1" applyBorder="1" applyAlignment="1">
      <alignment vertical="top" wrapText="1"/>
    </xf>
    <xf numFmtId="187" fontId="44" fillId="0" borderId="1" xfId="20" applyNumberFormat="1" applyFont="1" applyBorder="1" applyAlignment="1">
      <alignment horizontal="center" vertical="top" textRotation="90" wrapText="1"/>
    </xf>
    <xf numFmtId="17" fontId="44" fillId="0" borderId="5" xfId="0" applyNumberFormat="1" applyFont="1" applyFill="1" applyBorder="1" applyAlignment="1">
      <alignment horizontal="left" vertical="top" wrapText="1"/>
    </xf>
    <xf numFmtId="187" fontId="44" fillId="0" borderId="5" xfId="20" applyNumberFormat="1" applyFont="1" applyBorder="1" applyAlignment="1">
      <alignment horizontal="center" vertical="top" textRotation="90" wrapText="1"/>
    </xf>
    <xf numFmtId="17" fontId="44" fillId="0" borderId="1" xfId="0" applyNumberFormat="1" applyFont="1" applyFill="1" applyBorder="1" applyAlignment="1">
      <alignment horizontal="left" vertical="top" wrapText="1"/>
    </xf>
    <xf numFmtId="0" fontId="47" fillId="0" borderId="6" xfId="0" applyFont="1" applyFill="1" applyBorder="1" applyAlignment="1">
      <alignment horizontal="center" vertical="center" wrapText="1" readingOrder="1"/>
    </xf>
    <xf numFmtId="0" fontId="39" fillId="2" borderId="0" xfId="0" applyFont="1" applyFill="1"/>
    <xf numFmtId="0" fontId="39" fillId="2" borderId="0" xfId="0" applyFont="1" applyFill="1" applyAlignment="1">
      <alignment horizontal="left" vertical="center"/>
    </xf>
    <xf numFmtId="0" fontId="36" fillId="2" borderId="1" xfId="0" applyFont="1" applyFill="1" applyBorder="1"/>
    <xf numFmtId="0" fontId="36" fillId="2" borderId="0" xfId="0" applyFont="1" applyFill="1"/>
    <xf numFmtId="0" fontId="55" fillId="2" borderId="0" xfId="0" applyFont="1" applyFill="1"/>
    <xf numFmtId="0" fontId="36" fillId="0" borderId="0" xfId="0" applyFont="1" applyBorder="1"/>
    <xf numFmtId="0" fontId="39" fillId="0" borderId="2" xfId="0" applyFont="1" applyBorder="1" applyAlignment="1">
      <alignment vertical="center"/>
    </xf>
    <xf numFmtId="0" fontId="37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187" fontId="37" fillId="0" borderId="6" xfId="20" applyNumberFormat="1" applyFont="1" applyFill="1" applyBorder="1" applyAlignment="1">
      <alignment horizontal="center" vertical="center" textRotation="90" wrapText="1"/>
    </xf>
    <xf numFmtId="0" fontId="37" fillId="0" borderId="5" xfId="0" applyFont="1" applyBorder="1" applyAlignment="1">
      <alignment vertical="top" wrapText="1"/>
    </xf>
    <xf numFmtId="0" fontId="37" fillId="0" borderId="6" xfId="0" applyFont="1" applyBorder="1" applyAlignment="1">
      <alignment vertical="top" wrapText="1"/>
    </xf>
    <xf numFmtId="0" fontId="39" fillId="0" borderId="1" xfId="0" applyFont="1" applyFill="1" applyBorder="1" applyAlignment="1">
      <alignment horizontal="left" vertical="top" wrapText="1"/>
    </xf>
    <xf numFmtId="3" fontId="17" fillId="2" borderId="1" xfId="20" applyNumberFormat="1" applyFont="1" applyFill="1" applyBorder="1" applyAlignment="1">
      <alignment horizontal="left" vertical="top" wrapText="1" readingOrder="1"/>
    </xf>
    <xf numFmtId="0" fontId="17" fillId="0" borderId="5" xfId="0" applyFont="1" applyFill="1" applyBorder="1" applyAlignment="1">
      <alignment vertical="top" textRotation="90"/>
    </xf>
    <xf numFmtId="17" fontId="17" fillId="0" borderId="7" xfId="0" applyNumberFormat="1" applyFont="1" applyFill="1" applyBorder="1" applyAlignment="1">
      <alignment vertical="top"/>
    </xf>
    <xf numFmtId="43" fontId="17" fillId="0" borderId="7" xfId="20" applyFont="1" applyBorder="1" applyAlignment="1">
      <alignment vertical="top" textRotation="90"/>
    </xf>
    <xf numFmtId="43" fontId="17" fillId="0" borderId="5" xfId="20" applyFont="1" applyBorder="1" applyAlignment="1">
      <alignment vertical="top" textRotation="90"/>
    </xf>
    <xf numFmtId="0" fontId="17" fillId="7" borderId="6" xfId="0" applyFont="1" applyFill="1" applyBorder="1" applyAlignment="1">
      <alignment horizontal="center" vertical="top" wrapText="1" readingOrder="1"/>
    </xf>
    <xf numFmtId="3" fontId="17" fillId="7" borderId="1" xfId="20" applyNumberFormat="1" applyFont="1" applyFill="1" applyBorder="1" applyAlignment="1">
      <alignment vertical="top" wrapText="1" readingOrder="1"/>
    </xf>
    <xf numFmtId="0" fontId="16" fillId="0" borderId="1" xfId="0" applyFont="1" applyFill="1" applyBorder="1" applyAlignment="1">
      <alignment horizontal="left" vertical="top" wrapText="1"/>
    </xf>
    <xf numFmtId="43" fontId="16" fillId="0" borderId="1" xfId="20" applyFont="1" applyBorder="1" applyAlignment="1">
      <alignment horizontal="center" vertical="top" textRotation="90" wrapText="1"/>
    </xf>
    <xf numFmtId="0" fontId="16" fillId="7" borderId="1" xfId="0" applyFont="1" applyFill="1" applyBorder="1" applyAlignment="1">
      <alignment horizontal="center" vertical="center" wrapText="1" readingOrder="1"/>
    </xf>
    <xf numFmtId="3" fontId="17" fillId="7" borderId="1" xfId="20" applyNumberFormat="1" applyFont="1" applyFill="1" applyBorder="1" applyAlignment="1">
      <alignment vertical="center" wrapText="1" readingOrder="1"/>
    </xf>
    <xf numFmtId="0" fontId="16" fillId="0" borderId="1" xfId="0" applyFont="1" applyBorder="1"/>
    <xf numFmtId="0" fontId="17" fillId="0" borderId="1" xfId="0" applyFont="1" applyBorder="1"/>
    <xf numFmtId="43" fontId="17" fillId="0" borderId="6" xfId="20" applyFont="1" applyBorder="1" applyAlignment="1">
      <alignment horizontal="center" vertical="top" textRotation="90" wrapText="1"/>
    </xf>
    <xf numFmtId="3" fontId="38" fillId="7" borderId="1" xfId="20" applyNumberFormat="1" applyFont="1" applyFill="1" applyBorder="1" applyAlignment="1">
      <alignment vertical="top" wrapText="1" readingOrder="1"/>
    </xf>
    <xf numFmtId="0" fontId="56" fillId="7" borderId="1" xfId="0" applyFont="1" applyFill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top"/>
    </xf>
    <xf numFmtId="3" fontId="37" fillId="0" borderId="6" xfId="0" applyNumberFormat="1" applyFont="1" applyBorder="1" applyAlignment="1">
      <alignment horizontal="center" vertical="top"/>
    </xf>
    <xf numFmtId="0" fontId="37" fillId="7" borderId="6" xfId="0" applyFont="1" applyFill="1" applyBorder="1" applyAlignment="1">
      <alignment horizontal="center" vertical="top" wrapText="1"/>
    </xf>
    <xf numFmtId="3" fontId="37" fillId="7" borderId="6" xfId="0" applyNumberFormat="1" applyFont="1" applyFill="1" applyBorder="1" applyAlignment="1">
      <alignment horizontal="center" vertical="top"/>
    </xf>
    <xf numFmtId="0" fontId="37" fillId="7" borderId="9" xfId="0" applyFont="1" applyFill="1" applyBorder="1" applyAlignment="1">
      <alignment horizontal="center" vertical="center"/>
    </xf>
    <xf numFmtId="43" fontId="39" fillId="7" borderId="1" xfId="0" applyNumberFormat="1" applyFont="1" applyFill="1" applyBorder="1" applyAlignment="1">
      <alignment vertical="center"/>
    </xf>
    <xf numFmtId="0" fontId="16" fillId="7" borderId="3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 shrinkToFit="1"/>
    </xf>
    <xf numFmtId="187" fontId="17" fillId="0" borderId="1" xfId="20" applyNumberFormat="1" applyFont="1" applyBorder="1" applyAlignment="1">
      <alignment horizontal="center" vertical="top" wrapText="1"/>
    </xf>
    <xf numFmtId="187" fontId="17" fillId="0" borderId="1" xfId="20" applyNumberFormat="1" applyFont="1" applyBorder="1" applyAlignment="1">
      <alignment horizontal="left" vertical="top" wrapText="1" indent="1"/>
    </xf>
    <xf numFmtId="0" fontId="17" fillId="7" borderId="1" xfId="0" applyFont="1" applyFill="1" applyBorder="1" applyAlignment="1">
      <alignment horizontal="center" vertical="top" wrapText="1" readingOrder="1"/>
    </xf>
    <xf numFmtId="0" fontId="17" fillId="0" borderId="7" xfId="0" applyFont="1" applyBorder="1" applyAlignment="1">
      <alignment horizontal="left" vertical="top" wrapText="1" shrinkToFit="1"/>
    </xf>
    <xf numFmtId="187" fontId="17" fillId="0" borderId="7" xfId="2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top" wrapText="1" shrinkToFit="1"/>
    </xf>
    <xf numFmtId="187" fontId="17" fillId="0" borderId="17" xfId="20" applyNumberFormat="1" applyFont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 readingOrder="1"/>
    </xf>
    <xf numFmtId="3" fontId="17" fillId="0" borderId="1" xfId="20" applyNumberFormat="1" applyFont="1" applyFill="1" applyBorder="1" applyAlignment="1">
      <alignment vertical="top" wrapText="1" readingOrder="1"/>
    </xf>
    <xf numFmtId="0" fontId="17" fillId="0" borderId="5" xfId="0" applyFont="1" applyBorder="1"/>
    <xf numFmtId="0" fontId="17" fillId="0" borderId="18" xfId="0" applyFont="1" applyBorder="1" applyAlignment="1">
      <alignment horizontal="left" vertical="top" wrapText="1" shrinkToFit="1"/>
    </xf>
    <xf numFmtId="43" fontId="17" fillId="0" borderId="18" xfId="20" applyFont="1" applyBorder="1" applyAlignment="1">
      <alignment vertical="top"/>
    </xf>
    <xf numFmtId="0" fontId="17" fillId="0" borderId="19" xfId="0" applyFont="1" applyBorder="1" applyAlignment="1">
      <alignment horizontal="left" vertical="top" wrapText="1" shrinkToFit="1"/>
    </xf>
    <xf numFmtId="43" fontId="17" fillId="0" borderId="19" xfId="20" applyFont="1" applyBorder="1" applyAlignment="1">
      <alignment vertical="top"/>
    </xf>
    <xf numFmtId="0" fontId="17" fillId="0" borderId="20" xfId="0" applyFont="1" applyBorder="1" applyAlignment="1">
      <alignment horizontal="left" vertical="top" wrapText="1" shrinkToFit="1"/>
    </xf>
    <xf numFmtId="43" fontId="17" fillId="0" borderId="20" xfId="20" applyFont="1" applyBorder="1" applyAlignment="1">
      <alignment vertical="top"/>
    </xf>
    <xf numFmtId="43" fontId="17" fillId="0" borderId="1" xfId="20" applyFont="1" applyBorder="1" applyAlignment="1">
      <alignment vertical="top"/>
    </xf>
    <xf numFmtId="0" fontId="20" fillId="0" borderId="0" xfId="0" applyFont="1"/>
    <xf numFmtId="0" fontId="17" fillId="2" borderId="9" xfId="18" applyFont="1" applyFill="1" applyBorder="1" applyAlignment="1">
      <alignment vertical="top" wrapText="1"/>
    </xf>
    <xf numFmtId="3" fontId="17" fillId="2" borderId="1" xfId="18" applyNumberFormat="1" applyFont="1" applyFill="1" applyBorder="1" applyAlignment="1">
      <alignment horizontal="center" vertical="center"/>
    </xf>
    <xf numFmtId="0" fontId="17" fillId="2" borderId="1" xfId="18" applyFont="1" applyFill="1" applyBorder="1" applyAlignment="1">
      <alignment vertical="top" wrapText="1"/>
    </xf>
    <xf numFmtId="3" fontId="17" fillId="2" borderId="1" xfId="18" applyNumberFormat="1" applyFont="1" applyFill="1" applyBorder="1" applyAlignment="1">
      <alignment horizontal="center" vertical="top" wrapText="1"/>
    </xf>
    <xf numFmtId="187" fontId="17" fillId="0" borderId="5" xfId="20" applyNumberFormat="1" applyFont="1" applyBorder="1" applyAlignment="1">
      <alignment vertical="top" textRotation="90" wrapText="1"/>
    </xf>
    <xf numFmtId="187" fontId="17" fillId="0" borderId="7" xfId="20" applyNumberFormat="1" applyFont="1" applyBorder="1" applyAlignment="1">
      <alignment vertical="top" textRotation="90" wrapText="1"/>
    </xf>
    <xf numFmtId="187" fontId="17" fillId="0" borderId="6" xfId="20" applyNumberFormat="1" applyFont="1" applyBorder="1" applyAlignment="1">
      <alignment vertical="top" textRotation="90" wrapText="1"/>
    </xf>
    <xf numFmtId="0" fontId="17" fillId="7" borderId="6" xfId="0" applyFont="1" applyFill="1" applyBorder="1" applyAlignment="1">
      <alignment vertical="top" wrapText="1" readingOrder="1"/>
    </xf>
    <xf numFmtId="43" fontId="17" fillId="0" borderId="1" xfId="20" applyFont="1" applyBorder="1" applyAlignment="1">
      <alignment horizontal="center" vertical="top" textRotation="90" wrapText="1"/>
    </xf>
    <xf numFmtId="0" fontId="17" fillId="7" borderId="1" xfId="0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textRotation="90"/>
    </xf>
    <xf numFmtId="0" fontId="57" fillId="0" borderId="0" xfId="0" applyFont="1"/>
    <xf numFmtId="0" fontId="57" fillId="0" borderId="0" xfId="0" applyFont="1" applyAlignment="1">
      <alignment textRotation="90"/>
    </xf>
    <xf numFmtId="0" fontId="30" fillId="2" borderId="0" xfId="0" applyFont="1" applyFill="1"/>
    <xf numFmtId="0" fontId="47" fillId="0" borderId="6" xfId="0" applyFont="1" applyFill="1" applyBorder="1" applyAlignment="1">
      <alignment horizontal="right" vertical="top" wrapText="1" readingOrder="1"/>
    </xf>
    <xf numFmtId="3" fontId="47" fillId="0" borderId="1" xfId="20" applyNumberFormat="1" applyFont="1" applyFill="1" applyBorder="1" applyAlignment="1">
      <alignment horizontal="right" vertical="top" wrapText="1" readingOrder="1"/>
    </xf>
    <xf numFmtId="0" fontId="44" fillId="2" borderId="1" xfId="0" applyFont="1" applyFill="1" applyBorder="1" applyAlignment="1">
      <alignment horizontal="left" vertical="top" wrapText="1"/>
    </xf>
    <xf numFmtId="43" fontId="44" fillId="2" borderId="1" xfId="20" applyFont="1" applyFill="1" applyBorder="1" applyAlignment="1">
      <alignment horizontal="center" vertical="top" textRotation="90" wrapText="1"/>
    </xf>
    <xf numFmtId="0" fontId="47" fillId="13" borderId="1" xfId="0" applyFont="1" applyFill="1" applyBorder="1" applyAlignment="1">
      <alignment horizontal="center" vertical="center" wrapText="1" readingOrder="1"/>
    </xf>
    <xf numFmtId="3" fontId="47" fillId="13" borderId="1" xfId="20" applyNumberFormat="1" applyFont="1" applyFill="1" applyBorder="1" applyAlignment="1">
      <alignment vertical="center" wrapText="1" readingOrder="1"/>
    </xf>
    <xf numFmtId="0" fontId="44" fillId="2" borderId="1" xfId="0" applyFont="1" applyFill="1" applyBorder="1"/>
    <xf numFmtId="0" fontId="26" fillId="2" borderId="0" xfId="0" applyFont="1" applyFill="1"/>
    <xf numFmtId="0" fontId="53" fillId="0" borderId="5" xfId="0" applyFont="1" applyFill="1" applyBorder="1" applyAlignment="1">
      <alignment vertical="top" wrapText="1"/>
    </xf>
    <xf numFmtId="187" fontId="53" fillId="0" borderId="5" xfId="20" applyNumberFormat="1" applyFont="1" applyBorder="1" applyAlignment="1">
      <alignment vertical="top" textRotation="90" wrapText="1"/>
    </xf>
    <xf numFmtId="187" fontId="30" fillId="0" borderId="5" xfId="0" applyNumberFormat="1" applyFont="1" applyFill="1" applyBorder="1" applyAlignment="1">
      <alignment vertical="top" wrapText="1"/>
    </xf>
    <xf numFmtId="0" fontId="53" fillId="0" borderId="6" xfId="0" applyFont="1" applyFill="1" applyBorder="1" applyAlignment="1">
      <alignment vertical="top" wrapText="1"/>
    </xf>
    <xf numFmtId="187" fontId="53" fillId="0" borderId="7" xfId="20" applyNumberFormat="1" applyFont="1" applyBorder="1" applyAlignment="1">
      <alignment vertical="top" textRotation="90" wrapText="1"/>
    </xf>
    <xf numFmtId="187" fontId="54" fillId="0" borderId="5" xfId="20" applyNumberFormat="1" applyFont="1" applyBorder="1" applyAlignment="1">
      <alignment horizontal="center" vertical="top" textRotation="90" wrapText="1"/>
    </xf>
    <xf numFmtId="187" fontId="30" fillId="0" borderId="5" xfId="0" applyNumberFormat="1" applyFont="1" applyBorder="1"/>
    <xf numFmtId="187" fontId="30" fillId="0" borderId="7" xfId="0" applyNumberFormat="1" applyFont="1" applyBorder="1"/>
    <xf numFmtId="0" fontId="30" fillId="0" borderId="21" xfId="0" applyFont="1" applyBorder="1"/>
    <xf numFmtId="0" fontId="30" fillId="0" borderId="9" xfId="0" applyFont="1" applyBorder="1"/>
    <xf numFmtId="187" fontId="30" fillId="0" borderId="1" xfId="0" applyNumberFormat="1" applyFont="1" applyBorder="1"/>
    <xf numFmtId="0" fontId="30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textRotation="90" wrapText="1"/>
    </xf>
    <xf numFmtId="0" fontId="39" fillId="7" borderId="5" xfId="0" applyNumberFormat="1" applyFont="1" applyFill="1" applyBorder="1" applyAlignment="1">
      <alignment vertical="center" wrapText="1"/>
    </xf>
    <xf numFmtId="0" fontId="39" fillId="7" borderId="6" xfId="0" applyNumberFormat="1" applyFont="1" applyFill="1" applyBorder="1" applyAlignment="1">
      <alignment vertical="center" wrapText="1"/>
    </xf>
    <xf numFmtId="187" fontId="30" fillId="2" borderId="1" xfId="20" applyNumberFormat="1" applyFont="1" applyFill="1" applyBorder="1" applyAlignment="1">
      <alignment horizontal="right" vertical="top" wrapText="1"/>
    </xf>
    <xf numFmtId="187" fontId="30" fillId="2" borderId="1" xfId="20" applyNumberFormat="1" applyFont="1" applyFill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 shrinkToFit="1"/>
    </xf>
    <xf numFmtId="187" fontId="30" fillId="0" borderId="1" xfId="20" applyNumberFormat="1" applyFont="1" applyBorder="1" applyAlignment="1">
      <alignment horizontal="center" vertical="top"/>
    </xf>
    <xf numFmtId="187" fontId="44" fillId="7" borderId="6" xfId="0" applyNumberFormat="1" applyFont="1" applyFill="1" applyBorder="1" applyAlignment="1">
      <alignment horizontal="center" vertical="center" wrapText="1"/>
    </xf>
    <xf numFmtId="0" fontId="30" fillId="0" borderId="7" xfId="88" applyFont="1" applyBorder="1" applyAlignment="1">
      <alignment horizontal="center" vertical="top"/>
    </xf>
    <xf numFmtId="187" fontId="30" fillId="2" borderId="1" xfId="20" applyNumberFormat="1" applyFont="1" applyFill="1" applyBorder="1" applyAlignment="1">
      <alignment horizontal="left" vertical="center"/>
    </xf>
    <xf numFmtId="189" fontId="9" fillId="0" borderId="5" xfId="0" applyNumberFormat="1" applyFont="1" applyBorder="1" applyAlignment="1">
      <alignment horizontal="left" vertical="center" wrapText="1"/>
    </xf>
    <xf numFmtId="0" fontId="9" fillId="0" borderId="5" xfId="20" applyNumberFormat="1" applyFont="1" applyBorder="1" applyAlignment="1">
      <alignment horizontal="center" vertical="top" textRotation="90" wrapText="1"/>
    </xf>
    <xf numFmtId="0" fontId="11" fillId="0" borderId="5" xfId="20" applyNumberFormat="1" applyFont="1" applyBorder="1" applyAlignment="1">
      <alignment horizontal="center" vertical="center" textRotation="90" wrapText="1"/>
    </xf>
    <xf numFmtId="0" fontId="11" fillId="0" borderId="5" xfId="20" applyNumberFormat="1" applyFont="1" applyBorder="1" applyAlignment="1">
      <alignment horizontal="center" vertical="top" textRotation="90" wrapText="1"/>
    </xf>
    <xf numFmtId="189" fontId="9" fillId="0" borderId="7" xfId="0" applyNumberFormat="1" applyFont="1" applyBorder="1" applyAlignment="1">
      <alignment horizontal="left" vertical="center" wrapText="1"/>
    </xf>
    <xf numFmtId="0" fontId="9" fillId="0" borderId="7" xfId="20" applyNumberFormat="1" applyFont="1" applyBorder="1" applyAlignment="1">
      <alignment horizontal="center" vertical="top" textRotation="90" wrapText="1"/>
    </xf>
    <xf numFmtId="0" fontId="11" fillId="0" borderId="7" xfId="20" applyNumberFormat="1" applyFont="1" applyBorder="1" applyAlignment="1">
      <alignment horizontal="center" vertical="center" textRotation="90" wrapText="1"/>
    </xf>
    <xf numFmtId="0" fontId="11" fillId="0" borderId="7" xfId="20" applyNumberFormat="1" applyFont="1" applyBorder="1" applyAlignment="1">
      <alignment horizontal="center" vertical="top" textRotation="90" wrapText="1"/>
    </xf>
    <xf numFmtId="0" fontId="30" fillId="0" borderId="7" xfId="0" applyFont="1" applyBorder="1" applyAlignment="1">
      <alignment vertical="top" wrapText="1"/>
    </xf>
    <xf numFmtId="1" fontId="30" fillId="0" borderId="7" xfId="0" applyNumberFormat="1" applyFont="1" applyBorder="1" applyAlignment="1">
      <alignment horizontal="right" vertical="top"/>
    </xf>
    <xf numFmtId="0" fontId="9" fillId="0" borderId="7" xfId="0" applyNumberFormat="1" applyFont="1" applyFill="1" applyBorder="1" applyAlignment="1">
      <alignment horizontal="center" vertical="top" wrapText="1"/>
    </xf>
    <xf numFmtId="3" fontId="47" fillId="7" borderId="1" xfId="20" applyNumberFormat="1" applyFont="1" applyFill="1" applyBorder="1" applyAlignment="1">
      <alignment vertical="top" wrapText="1" readingOrder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6" xfId="20" applyNumberFormat="1" applyFont="1" applyBorder="1" applyAlignment="1">
      <alignment horizontal="center" vertical="top" textRotation="90" wrapText="1"/>
    </xf>
    <xf numFmtId="0" fontId="11" fillId="0" borderId="6" xfId="20" applyNumberFormat="1" applyFont="1" applyBorder="1" applyAlignment="1">
      <alignment horizontal="center" vertical="center" textRotation="90" wrapText="1"/>
    </xf>
    <xf numFmtId="0" fontId="11" fillId="0" borderId="6" xfId="20" applyNumberFormat="1" applyFont="1" applyBorder="1" applyAlignment="1">
      <alignment horizontal="center" vertical="top" textRotation="90" wrapText="1"/>
    </xf>
    <xf numFmtId="15" fontId="9" fillId="0" borderId="7" xfId="0" applyNumberFormat="1" applyFont="1" applyFill="1" applyBorder="1" applyAlignment="1">
      <alignment horizontal="center" vertical="top" wrapText="1"/>
    </xf>
    <xf numFmtId="0" fontId="9" fillId="0" borderId="6" xfId="20" applyNumberFormat="1" applyFont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left" wrapText="1"/>
    </xf>
    <xf numFmtId="189" fontId="9" fillId="0" borderId="5" xfId="0" applyNumberFormat="1" applyFont="1" applyBorder="1" applyAlignment="1">
      <alignment horizontal="center" vertical="top"/>
    </xf>
    <xf numFmtId="3" fontId="9" fillId="0" borderId="5" xfId="20" applyNumberFormat="1" applyFont="1" applyBorder="1" applyAlignment="1">
      <alignment horizontal="center" vertical="center" textRotation="90"/>
    </xf>
    <xf numFmtId="187" fontId="30" fillId="2" borderId="1" xfId="20" applyNumberFormat="1" applyFont="1" applyFill="1" applyBorder="1" applyAlignment="1">
      <alignment horizontal="center" vertical="center"/>
    </xf>
    <xf numFmtId="3" fontId="9" fillId="0" borderId="7" xfId="20" applyNumberFormat="1" applyFont="1" applyBorder="1" applyAlignment="1">
      <alignment horizontal="center" vertical="center" textRotation="90"/>
    </xf>
    <xf numFmtId="187" fontId="11" fillId="7" borderId="9" xfId="0" applyNumberFormat="1" applyFont="1" applyFill="1" applyBorder="1" applyAlignment="1">
      <alignment vertical="top" wrapText="1"/>
    </xf>
    <xf numFmtId="3" fontId="9" fillId="0" borderId="6" xfId="20" applyNumberFormat="1" applyFont="1" applyBorder="1" applyAlignment="1">
      <alignment horizontal="center" vertical="center" textRotation="90"/>
    </xf>
    <xf numFmtId="0" fontId="30" fillId="2" borderId="1" xfId="0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53" fillId="0" borderId="5" xfId="20" applyNumberFormat="1" applyFont="1" applyBorder="1" applyAlignment="1">
      <alignment horizontal="center" vertical="top" textRotation="90" wrapText="1"/>
    </xf>
    <xf numFmtId="0" fontId="54" fillId="0" borderId="5" xfId="20" applyNumberFormat="1" applyFont="1" applyBorder="1" applyAlignment="1">
      <alignment horizontal="center" vertical="top" textRotation="90" wrapText="1"/>
    </xf>
    <xf numFmtId="3" fontId="53" fillId="0" borderId="5" xfId="20" applyNumberFormat="1" applyFont="1" applyBorder="1" applyAlignment="1">
      <alignment horizontal="center" vertical="center" textRotation="90"/>
    </xf>
    <xf numFmtId="0" fontId="53" fillId="0" borderId="7" xfId="20" applyNumberFormat="1" applyFont="1" applyBorder="1" applyAlignment="1">
      <alignment horizontal="center" vertical="top" textRotation="90" wrapText="1"/>
    </xf>
    <xf numFmtId="0" fontId="54" fillId="0" borderId="7" xfId="20" applyNumberFormat="1" applyFont="1" applyBorder="1" applyAlignment="1">
      <alignment horizontal="center" vertical="top" textRotation="90" wrapText="1"/>
    </xf>
    <xf numFmtId="3" fontId="53" fillId="0" borderId="7" xfId="20" applyNumberFormat="1" applyFont="1" applyBorder="1" applyAlignment="1">
      <alignment horizontal="center" vertical="center" textRotation="90"/>
    </xf>
    <xf numFmtId="0" fontId="11" fillId="0" borderId="6" xfId="0" applyNumberFormat="1" applyFont="1" applyBorder="1"/>
    <xf numFmtId="3" fontId="11" fillId="0" borderId="6" xfId="2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/>
    <xf numFmtId="0" fontId="30" fillId="0" borderId="0" xfId="0" applyNumberFormat="1" applyFont="1"/>
    <xf numFmtId="0" fontId="36" fillId="0" borderId="0" xfId="0" applyNumberFormat="1" applyFont="1"/>
    <xf numFmtId="0" fontId="9" fillId="0" borderId="21" xfId="0" applyFont="1" applyBorder="1" applyAlignment="1">
      <alignment vertical="top" wrapText="1"/>
    </xf>
    <xf numFmtId="3" fontId="30" fillId="0" borderId="1" xfId="0" applyNumberFormat="1" applyFont="1" applyBorder="1" applyAlignment="1">
      <alignment horizontal="right" vertical="top"/>
    </xf>
    <xf numFmtId="15" fontId="9" fillId="0" borderId="15" xfId="0" applyNumberFormat="1" applyFont="1" applyFill="1" applyBorder="1" applyAlignment="1">
      <alignment horizontal="center" vertical="top" wrapText="1"/>
    </xf>
    <xf numFmtId="0" fontId="11" fillId="0" borderId="4" xfId="20" applyNumberFormat="1" applyFont="1" applyBorder="1" applyAlignment="1">
      <alignment horizontal="center" vertical="center" textRotation="90" wrapText="1"/>
    </xf>
    <xf numFmtId="0" fontId="54" fillId="0" borderId="4" xfId="20" applyNumberFormat="1" applyFont="1" applyBorder="1" applyAlignment="1">
      <alignment horizontal="center" vertical="top" textRotation="90" wrapText="1"/>
    </xf>
    <xf numFmtId="0" fontId="53" fillId="0" borderId="4" xfId="20" applyNumberFormat="1" applyFont="1" applyBorder="1" applyAlignment="1">
      <alignment horizontal="center" vertical="top" textRotation="90" wrapText="1"/>
    </xf>
    <xf numFmtId="0" fontId="9" fillId="0" borderId="2" xfId="0" applyFont="1" applyBorder="1" applyAlignment="1">
      <alignment horizontal="left" vertical="top" wrapText="1"/>
    </xf>
    <xf numFmtId="3" fontId="30" fillId="0" borderId="6" xfId="0" applyNumberFormat="1" applyFont="1" applyBorder="1" applyAlignment="1">
      <alignment horizontal="right" vertical="top"/>
    </xf>
    <xf numFmtId="15" fontId="9" fillId="0" borderId="16" xfId="0" applyNumberFormat="1" applyFont="1" applyFill="1" applyBorder="1" applyAlignment="1">
      <alignment horizontal="center" vertical="top" wrapText="1"/>
    </xf>
    <xf numFmtId="0" fontId="53" fillId="0" borderId="16" xfId="20" applyNumberFormat="1" applyFont="1" applyBorder="1" applyAlignment="1">
      <alignment horizontal="center" vertical="top" textRotation="90" wrapText="1"/>
    </xf>
    <xf numFmtId="0" fontId="54" fillId="0" borderId="16" xfId="20" applyNumberFormat="1" applyFont="1" applyBorder="1" applyAlignment="1">
      <alignment horizontal="center" vertical="top" textRotation="90" wrapText="1"/>
    </xf>
    <xf numFmtId="3" fontId="30" fillId="0" borderId="7" xfId="0" applyNumberFormat="1" applyFont="1" applyBorder="1" applyAlignment="1">
      <alignment horizontal="right" vertical="top"/>
    </xf>
    <xf numFmtId="0" fontId="53" fillId="0" borderId="6" xfId="20" applyNumberFormat="1" applyFont="1" applyBorder="1" applyAlignment="1">
      <alignment horizontal="center" vertical="top" textRotation="90" wrapText="1"/>
    </xf>
    <xf numFmtId="0" fontId="54" fillId="0" borderId="6" xfId="20" applyNumberFormat="1" applyFont="1" applyBorder="1" applyAlignment="1">
      <alignment horizontal="center" vertical="top" textRotation="90" wrapText="1"/>
    </xf>
    <xf numFmtId="0" fontId="30" fillId="2" borderId="7" xfId="0" applyFont="1" applyFill="1" applyBorder="1" applyAlignment="1">
      <alignment vertical="top" wrapText="1"/>
    </xf>
    <xf numFmtId="15" fontId="9" fillId="0" borderId="6" xfId="0" applyNumberFormat="1" applyFont="1" applyFill="1" applyBorder="1" applyAlignment="1">
      <alignment horizontal="center" vertical="top" wrapText="1"/>
    </xf>
    <xf numFmtId="0" fontId="44" fillId="7" borderId="1" xfId="0" applyFont="1" applyFill="1" applyBorder="1" applyAlignment="1">
      <alignment vertical="top" wrapText="1"/>
    </xf>
    <xf numFmtId="0" fontId="30" fillId="7" borderId="3" xfId="0" applyFont="1" applyFill="1" applyBorder="1"/>
    <xf numFmtId="0" fontId="30" fillId="7" borderId="21" xfId="0" applyFont="1" applyFill="1" applyBorder="1"/>
    <xf numFmtId="0" fontId="30" fillId="7" borderId="9" xfId="0" applyFont="1" applyFill="1" applyBorder="1"/>
    <xf numFmtId="0" fontId="44" fillId="0" borderId="1" xfId="0" applyNumberFormat="1" applyFont="1" applyBorder="1"/>
    <xf numFmtId="3" fontId="11" fillId="0" borderId="1" xfId="20" applyNumberFormat="1" applyFont="1" applyBorder="1" applyAlignment="1">
      <alignment horizontal="center" vertical="top" textRotation="90" wrapText="1"/>
    </xf>
    <xf numFmtId="0" fontId="9" fillId="0" borderId="1" xfId="0" applyNumberFormat="1" applyFont="1" applyBorder="1"/>
    <xf numFmtId="0" fontId="37" fillId="2" borderId="16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vertical="top" wrapText="1"/>
    </xf>
    <xf numFmtId="0" fontId="37" fillId="0" borderId="16" xfId="0" applyFont="1" applyBorder="1"/>
    <xf numFmtId="0" fontId="37" fillId="2" borderId="16" xfId="0" applyFont="1" applyFill="1" applyBorder="1" applyAlignment="1">
      <alignment horizontal="left"/>
    </xf>
    <xf numFmtId="3" fontId="37" fillId="2" borderId="7" xfId="0" applyNumberFormat="1" applyFont="1" applyFill="1" applyBorder="1" applyAlignment="1">
      <alignment horizontal="right" vertical="top"/>
    </xf>
    <xf numFmtId="187" fontId="37" fillId="2" borderId="7" xfId="20" applyNumberFormat="1" applyFont="1" applyFill="1" applyBorder="1" applyAlignment="1">
      <alignment horizontal="right" vertical="top"/>
    </xf>
    <xf numFmtId="0" fontId="37" fillId="2" borderId="16" xfId="0" applyFont="1" applyFill="1" applyBorder="1" applyAlignment="1">
      <alignment horizontal="left" wrapText="1"/>
    </xf>
    <xf numFmtId="3" fontId="37" fillId="0" borderId="7" xfId="0" applyNumberFormat="1" applyFont="1" applyBorder="1" applyAlignment="1">
      <alignment horizontal="right" vertical="top"/>
    </xf>
    <xf numFmtId="0" fontId="37" fillId="0" borderId="16" xfId="0" applyFont="1" applyBorder="1" applyAlignment="1">
      <alignment horizontal="left" vertical="top" wrapText="1"/>
    </xf>
    <xf numFmtId="187" fontId="37" fillId="0" borderId="7" xfId="20" applyNumberFormat="1" applyFont="1" applyBorder="1" applyAlignment="1">
      <alignment horizontal="right" vertical="top"/>
    </xf>
    <xf numFmtId="0" fontId="37" fillId="12" borderId="6" xfId="0" applyFont="1" applyFill="1" applyBorder="1" applyAlignment="1">
      <alignment vertical="top" wrapText="1"/>
    </xf>
    <xf numFmtId="0" fontId="37" fillId="12" borderId="1" xfId="0" applyFont="1" applyFill="1" applyBorder="1" applyAlignment="1">
      <alignment horizontal="left" vertical="top" wrapText="1"/>
    </xf>
    <xf numFmtId="0" fontId="39" fillId="12" borderId="3" xfId="0" applyFont="1" applyFill="1" applyBorder="1" applyAlignment="1">
      <alignment horizontal="center" vertical="top" wrapText="1"/>
    </xf>
    <xf numFmtId="187" fontId="39" fillId="12" borderId="1" xfId="20" applyNumberFormat="1" applyFont="1" applyFill="1" applyBorder="1" applyAlignment="1">
      <alignment horizontal="right" vertical="top"/>
    </xf>
    <xf numFmtId="0" fontId="37" fillId="12" borderId="1" xfId="0" applyFont="1" applyFill="1" applyBorder="1" applyAlignment="1">
      <alignment horizontal="center" vertical="top" wrapText="1"/>
    </xf>
    <xf numFmtId="0" fontId="39" fillId="12" borderId="1" xfId="0" applyFont="1" applyFill="1" applyBorder="1" applyAlignment="1">
      <alignment horizontal="center" vertical="center" wrapText="1"/>
    </xf>
    <xf numFmtId="187" fontId="37" fillId="12" borderId="1" xfId="20" applyNumberFormat="1" applyFont="1" applyFill="1" applyBorder="1" applyAlignment="1">
      <alignment horizontal="center" vertical="center" textRotation="90" wrapText="1"/>
    </xf>
    <xf numFmtId="0" fontId="37" fillId="12" borderId="1" xfId="0" applyFont="1" applyFill="1" applyBorder="1" applyAlignment="1">
      <alignment horizontal="center" vertical="center" wrapText="1"/>
    </xf>
    <xf numFmtId="0" fontId="39" fillId="0" borderId="5" xfId="5" applyFont="1" applyBorder="1" applyAlignment="1">
      <alignment vertical="top" wrapText="1"/>
    </xf>
    <xf numFmtId="0" fontId="37" fillId="0" borderId="5" xfId="5" applyFont="1" applyBorder="1" applyAlignment="1">
      <alignment horizontal="left" vertical="top" wrapText="1"/>
    </xf>
    <xf numFmtId="0" fontId="37" fillId="0" borderId="5" xfId="5" applyFont="1" applyBorder="1" applyAlignment="1">
      <alignment vertical="top" wrapText="1"/>
    </xf>
    <xf numFmtId="3" fontId="37" fillId="0" borderId="5" xfId="0" applyNumberFormat="1" applyFont="1" applyBorder="1" applyAlignment="1">
      <alignment vertical="top"/>
    </xf>
    <xf numFmtId="0" fontId="39" fillId="0" borderId="7" xfId="5" applyFont="1" applyBorder="1" applyAlignment="1">
      <alignment vertical="top" wrapText="1"/>
    </xf>
    <xf numFmtId="0" fontId="37" fillId="0" borderId="7" xfId="5" applyFont="1" applyBorder="1" applyAlignment="1">
      <alignment vertical="top" wrapText="1"/>
    </xf>
    <xf numFmtId="3" fontId="37" fillId="0" borderId="7" xfId="0" applyNumberFormat="1" applyFont="1" applyBorder="1" applyAlignment="1">
      <alignment vertical="top"/>
    </xf>
    <xf numFmtId="0" fontId="39" fillId="12" borderId="1" xfId="5" applyFont="1" applyFill="1" applyBorder="1" applyAlignment="1">
      <alignment horizontal="left" vertical="top" wrapText="1"/>
    </xf>
    <xf numFmtId="0" fontId="37" fillId="12" borderId="1" xfId="5" applyFont="1" applyFill="1" applyBorder="1" applyAlignment="1">
      <alignment horizontal="left" vertical="top" wrapText="1"/>
    </xf>
    <xf numFmtId="0" fontId="37" fillId="9" borderId="1" xfId="5" applyFont="1" applyFill="1" applyBorder="1" applyAlignment="1">
      <alignment horizontal="left" vertical="top" wrapText="1"/>
    </xf>
    <xf numFmtId="0" fontId="39" fillId="9" borderId="1" xfId="0" applyFont="1" applyFill="1" applyBorder="1" applyAlignment="1">
      <alignment horizontal="center" vertical="top" wrapText="1"/>
    </xf>
    <xf numFmtId="187" fontId="39" fillId="9" borderId="3" xfId="20" applyNumberFormat="1" applyFont="1" applyFill="1" applyBorder="1" applyAlignment="1">
      <alignment horizontal="right" vertical="top"/>
    </xf>
    <xf numFmtId="0" fontId="37" fillId="9" borderId="1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vertical="top" wrapText="1"/>
    </xf>
    <xf numFmtId="0" fontId="39" fillId="9" borderId="1" xfId="0" applyFont="1" applyFill="1" applyBorder="1" applyAlignment="1">
      <alignment vertical="top" textRotation="90" wrapText="1"/>
    </xf>
    <xf numFmtId="0" fontId="39" fillId="9" borderId="3" xfId="0" applyFont="1" applyFill="1" applyBorder="1" applyAlignment="1">
      <alignment vertical="top" wrapText="1"/>
    </xf>
    <xf numFmtId="0" fontId="39" fillId="12" borderId="5" xfId="5" applyFont="1" applyFill="1" applyBorder="1" applyAlignment="1">
      <alignment horizontal="left" vertical="top" wrapText="1"/>
    </xf>
    <xf numFmtId="0" fontId="37" fillId="12" borderId="5" xfId="5" applyFont="1" applyFill="1" applyBorder="1" applyAlignment="1">
      <alignment horizontal="left" vertical="top" wrapText="1"/>
    </xf>
    <xf numFmtId="0" fontId="37" fillId="12" borderId="5" xfId="0" applyFont="1" applyFill="1" applyBorder="1" applyAlignment="1">
      <alignment horizontal="center" vertical="top" wrapText="1"/>
    </xf>
    <xf numFmtId="0" fontId="37" fillId="12" borderId="22" xfId="0" applyFont="1" applyFill="1" applyBorder="1" applyAlignment="1">
      <alignment horizontal="center" vertical="top" wrapText="1"/>
    </xf>
    <xf numFmtId="0" fontId="39" fillId="12" borderId="5" xfId="0" applyFont="1" applyFill="1" applyBorder="1" applyAlignment="1">
      <alignment vertical="center" wrapText="1"/>
    </xf>
    <xf numFmtId="0" fontId="39" fillId="12" borderId="5" xfId="0" applyFont="1" applyFill="1" applyBorder="1" applyAlignment="1">
      <alignment vertical="center" textRotation="90" wrapText="1"/>
    </xf>
    <xf numFmtId="0" fontId="39" fillId="12" borderId="15" xfId="0" applyFont="1" applyFill="1" applyBorder="1" applyAlignment="1">
      <alignment vertical="center" wrapText="1"/>
    </xf>
    <xf numFmtId="0" fontId="39" fillId="0" borderId="5" xfId="0" applyFont="1" applyBorder="1" applyAlignment="1">
      <alignment vertical="top" wrapText="1"/>
    </xf>
    <xf numFmtId="0" fontId="39" fillId="0" borderId="7" xfId="0" applyFont="1" applyBorder="1" applyAlignment="1">
      <alignment vertical="top" wrapText="1"/>
    </xf>
    <xf numFmtId="0" fontId="16" fillId="12" borderId="1" xfId="5" applyFont="1" applyFill="1" applyBorder="1" applyAlignment="1">
      <alignment vertical="top"/>
    </xf>
    <xf numFmtId="0" fontId="39" fillId="12" borderId="1" xfId="0" applyFont="1" applyFill="1" applyBorder="1" applyAlignment="1">
      <alignment vertical="center" wrapText="1"/>
    </xf>
    <xf numFmtId="0" fontId="37" fillId="12" borderId="3" xfId="0" applyFont="1" applyFill="1" applyBorder="1" applyAlignment="1">
      <alignment vertical="top" wrapText="1"/>
    </xf>
    <xf numFmtId="0" fontId="39" fillId="12" borderId="1" xfId="0" applyFont="1" applyFill="1" applyBorder="1" applyAlignment="1">
      <alignment horizontal="center" vertical="top" wrapText="1"/>
    </xf>
    <xf numFmtId="0" fontId="37" fillId="12" borderId="9" xfId="0" applyFont="1" applyFill="1" applyBorder="1" applyAlignment="1">
      <alignment horizontal="center" vertical="top" wrapText="1"/>
    </xf>
    <xf numFmtId="0" fontId="37" fillId="12" borderId="1" xfId="0" applyFont="1" applyFill="1" applyBorder="1" applyAlignment="1">
      <alignment vertical="center" wrapText="1"/>
    </xf>
    <xf numFmtId="187" fontId="37" fillId="12" borderId="1" xfId="20" applyNumberFormat="1" applyFont="1" applyFill="1" applyBorder="1" applyAlignment="1">
      <alignment vertical="center" textRotation="90" wrapText="1"/>
    </xf>
    <xf numFmtId="0" fontId="16" fillId="0" borderId="1" xfId="5" applyFont="1" applyFill="1" applyBorder="1" applyAlignment="1">
      <alignment horizontal="left" vertical="top"/>
    </xf>
    <xf numFmtId="0" fontId="39" fillId="0" borderId="1" xfId="0" applyFont="1" applyFill="1" applyBorder="1" applyAlignment="1">
      <alignment vertical="center" wrapText="1"/>
    </xf>
    <xf numFmtId="187" fontId="39" fillId="0" borderId="1" xfId="20" applyNumberFormat="1" applyFont="1" applyFill="1" applyBorder="1" applyAlignment="1">
      <alignment horizontal="right" vertical="top"/>
    </xf>
    <xf numFmtId="0" fontId="37" fillId="0" borderId="1" xfId="0" applyFont="1" applyFill="1" applyBorder="1" applyAlignment="1">
      <alignment vertical="center" wrapText="1"/>
    </xf>
    <xf numFmtId="187" fontId="37" fillId="0" borderId="1" xfId="20" applyNumberFormat="1" applyFont="1" applyFill="1" applyBorder="1" applyAlignment="1">
      <alignment vertical="center" textRotation="90" wrapText="1"/>
    </xf>
    <xf numFmtId="0" fontId="37" fillId="0" borderId="4" xfId="0" applyFont="1" applyBorder="1" applyAlignment="1">
      <alignment vertical="top" wrapText="1"/>
    </xf>
    <xf numFmtId="0" fontId="37" fillId="0" borderId="5" xfId="0" applyFont="1" applyBorder="1" applyAlignment="1">
      <alignment horizontal="center" wrapText="1"/>
    </xf>
    <xf numFmtId="187" fontId="37" fillId="0" borderId="5" xfId="20" applyNumberFormat="1" applyFont="1" applyFill="1" applyBorder="1" applyAlignment="1">
      <alignment vertical="center" textRotation="90" wrapText="1"/>
    </xf>
    <xf numFmtId="0" fontId="37" fillId="0" borderId="0" xfId="0" applyFont="1" applyBorder="1" applyAlignment="1">
      <alignment horizontal="left" vertical="top" wrapText="1"/>
    </xf>
    <xf numFmtId="187" fontId="37" fillId="0" borderId="7" xfId="20" applyNumberFormat="1" applyFont="1" applyFill="1" applyBorder="1" applyAlignment="1">
      <alignment vertical="center" textRotation="90" wrapText="1"/>
    </xf>
    <xf numFmtId="0" fontId="37" fillId="0" borderId="2" xfId="0" applyFont="1" applyBorder="1" applyAlignment="1">
      <alignment vertical="top"/>
    </xf>
    <xf numFmtId="3" fontId="37" fillId="0" borderId="6" xfId="0" applyNumberFormat="1" applyFont="1" applyBorder="1" applyAlignment="1">
      <alignment vertical="top"/>
    </xf>
    <xf numFmtId="0" fontId="37" fillId="0" borderId="6" xfId="0" applyFont="1" applyBorder="1" applyAlignment="1">
      <alignment horizontal="center" vertical="top"/>
    </xf>
    <xf numFmtId="187" fontId="37" fillId="0" borderId="6" xfId="20" applyNumberFormat="1" applyFont="1" applyFill="1" applyBorder="1" applyAlignment="1">
      <alignment vertical="top" textRotation="90" wrapText="1"/>
    </xf>
    <xf numFmtId="187" fontId="37" fillId="0" borderId="6" xfId="20" applyNumberFormat="1" applyFont="1" applyFill="1" applyBorder="1" applyAlignment="1">
      <alignment vertical="center" textRotation="90" wrapText="1"/>
    </xf>
    <xf numFmtId="0" fontId="17" fillId="0" borderId="6" xfId="5" applyFont="1" applyBorder="1" applyAlignment="1">
      <alignment horizontal="left" vertical="top" wrapText="1"/>
    </xf>
    <xf numFmtId="0" fontId="17" fillId="0" borderId="8" xfId="5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0" fontId="37" fillId="0" borderId="23" xfId="0" applyFont="1" applyBorder="1" applyAlignment="1">
      <alignment horizontal="center" vertical="top"/>
    </xf>
    <xf numFmtId="0" fontId="39" fillId="2" borderId="1" xfId="0" applyFont="1" applyFill="1" applyBorder="1" applyAlignment="1">
      <alignment vertic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3" fontId="37" fillId="0" borderId="1" xfId="0" applyNumberFormat="1" applyFont="1" applyFill="1" applyBorder="1" applyAlignment="1">
      <alignment horizontal="center" vertical="top" wrapText="1"/>
    </xf>
    <xf numFmtId="3" fontId="37" fillId="0" borderId="1" xfId="0" applyNumberFormat="1" applyFont="1" applyFill="1" applyBorder="1" applyAlignment="1">
      <alignment horizontal="center" vertical="top" textRotation="90" wrapText="1"/>
    </xf>
    <xf numFmtId="0" fontId="16" fillId="9" borderId="21" xfId="5" applyFont="1" applyFill="1" applyBorder="1" applyAlignment="1">
      <alignment vertical="top"/>
    </xf>
    <xf numFmtId="0" fontId="16" fillId="9" borderId="9" xfId="5" applyFont="1" applyFill="1" applyBorder="1" applyAlignment="1">
      <alignment vertical="top"/>
    </xf>
    <xf numFmtId="0" fontId="16" fillId="9" borderId="4" xfId="0" applyFont="1" applyFill="1" applyBorder="1" applyAlignment="1">
      <alignment vertical="center" wrapText="1"/>
    </xf>
    <xf numFmtId="0" fontId="16" fillId="9" borderId="22" xfId="0" applyFont="1" applyFill="1" applyBorder="1" applyAlignment="1">
      <alignment vertical="center" wrapText="1"/>
    </xf>
    <xf numFmtId="0" fontId="37" fillId="0" borderId="15" xfId="0" applyFont="1" applyBorder="1" applyAlignment="1">
      <alignment vertical="top"/>
    </xf>
    <xf numFmtId="0" fontId="37" fillId="0" borderId="22" xfId="0" applyFont="1" applyBorder="1"/>
    <xf numFmtId="3" fontId="37" fillId="0" borderId="5" xfId="0" applyNumberFormat="1" applyFont="1" applyBorder="1"/>
    <xf numFmtId="0" fontId="37" fillId="0" borderId="15" xfId="0" applyFont="1" applyBorder="1"/>
    <xf numFmtId="0" fontId="37" fillId="0" borderId="14" xfId="0" applyFont="1" applyBorder="1" applyAlignment="1">
      <alignment horizontal="left" vertical="top" wrapText="1"/>
    </xf>
    <xf numFmtId="3" fontId="37" fillId="0" borderId="7" xfId="0" applyNumberFormat="1" applyFont="1" applyBorder="1" applyAlignment="1">
      <alignment vertical="center"/>
    </xf>
    <xf numFmtId="0" fontId="37" fillId="0" borderId="14" xfId="0" applyFont="1" applyBorder="1"/>
    <xf numFmtId="3" fontId="37" fillId="0" borderId="7" xfId="0" applyNumberFormat="1" applyFont="1" applyBorder="1"/>
    <xf numFmtId="0" fontId="17" fillId="12" borderId="1" xfId="0" applyFont="1" applyFill="1" applyBorder="1" applyAlignment="1">
      <alignment horizontal="left" vertical="top" wrapText="1"/>
    </xf>
    <xf numFmtId="0" fontId="37" fillId="12" borderId="9" xfId="0" applyFont="1" applyFill="1" applyBorder="1"/>
    <xf numFmtId="3" fontId="37" fillId="12" borderId="1" xfId="0" applyNumberFormat="1" applyFont="1" applyFill="1" applyBorder="1"/>
    <xf numFmtId="17" fontId="37" fillId="12" borderId="3" xfId="0" applyNumberFormat="1" applyFont="1" applyFill="1" applyBorder="1"/>
    <xf numFmtId="0" fontId="37" fillId="12" borderId="3" xfId="0" applyFont="1" applyFill="1" applyBorder="1"/>
    <xf numFmtId="0" fontId="37" fillId="0" borderId="5" xfId="0" applyFont="1" applyBorder="1" applyAlignment="1">
      <alignment vertical="top"/>
    </xf>
    <xf numFmtId="0" fontId="37" fillId="0" borderId="22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3" fontId="17" fillId="0" borderId="5" xfId="0" applyNumberFormat="1" applyFont="1" applyBorder="1" applyAlignment="1">
      <alignment vertical="top" wrapText="1" readingOrder="1"/>
    </xf>
    <xf numFmtId="0" fontId="17" fillId="0" borderId="22" xfId="0" applyFont="1" applyBorder="1" applyAlignment="1">
      <alignment vertical="top" wrapText="1" readingOrder="1"/>
    </xf>
    <xf numFmtId="0" fontId="17" fillId="0" borderId="0" xfId="0" applyFont="1" applyBorder="1" applyAlignment="1">
      <alignment vertical="top" wrapText="1" readingOrder="1"/>
    </xf>
    <xf numFmtId="0" fontId="17" fillId="0" borderId="15" xfId="0" applyFont="1" applyBorder="1" applyAlignment="1">
      <alignment vertical="top" wrapText="1" readingOrder="1"/>
    </xf>
    <xf numFmtId="0" fontId="17" fillId="0" borderId="14" xfId="0" applyFont="1" applyBorder="1" applyAlignment="1">
      <alignment vertical="top" wrapText="1" readingOrder="1"/>
    </xf>
    <xf numFmtId="0" fontId="17" fillId="0" borderId="7" xfId="0" applyFont="1" applyBorder="1" applyAlignment="1">
      <alignment vertical="top" wrapText="1" readingOrder="1"/>
    </xf>
    <xf numFmtId="0" fontId="17" fillId="0" borderId="16" xfId="0" applyFont="1" applyBorder="1" applyAlignment="1">
      <alignment vertical="top" wrapText="1" readingOrder="1"/>
    </xf>
    <xf numFmtId="0" fontId="17" fillId="0" borderId="14" xfId="0" applyFont="1" applyBorder="1" applyAlignment="1">
      <alignment horizontal="center" vertical="top" wrapText="1" readingOrder="1"/>
    </xf>
    <xf numFmtId="3" fontId="17" fillId="0" borderId="7" xfId="0" applyNumberFormat="1" applyFont="1" applyBorder="1" applyAlignment="1">
      <alignment vertical="top" wrapText="1" readingOrder="1"/>
    </xf>
    <xf numFmtId="0" fontId="58" fillId="0" borderId="14" xfId="0" applyFont="1" applyBorder="1" applyAlignment="1">
      <alignment vertical="top" wrapText="1" readingOrder="1"/>
    </xf>
    <xf numFmtId="0" fontId="58" fillId="0" borderId="0" xfId="0" applyFont="1" applyBorder="1" applyAlignment="1">
      <alignment vertical="top" wrapText="1" readingOrder="1"/>
    </xf>
    <xf numFmtId="0" fontId="58" fillId="0" borderId="7" xfId="0" applyFont="1" applyBorder="1" applyAlignment="1">
      <alignment vertical="top" wrapText="1" readingOrder="1"/>
    </xf>
    <xf numFmtId="0" fontId="58" fillId="0" borderId="16" xfId="0" applyFont="1" applyBorder="1" applyAlignment="1">
      <alignment vertical="top" wrapText="1" readingOrder="1"/>
    </xf>
    <xf numFmtId="0" fontId="58" fillId="0" borderId="14" xfId="0" applyFont="1" applyBorder="1" applyAlignment="1">
      <alignment horizontal="center" vertical="top" wrapText="1" readingOrder="1"/>
    </xf>
    <xf numFmtId="0" fontId="37" fillId="12" borderId="9" xfId="0" applyFont="1" applyFill="1" applyBorder="1" applyAlignment="1">
      <alignment horizontal="center"/>
    </xf>
    <xf numFmtId="0" fontId="37" fillId="12" borderId="1" xfId="0" applyFont="1" applyFill="1" applyBorder="1" applyAlignment="1">
      <alignment vertical="top" textRotation="90"/>
    </xf>
    <xf numFmtId="0" fontId="37" fillId="0" borderId="14" xfId="0" applyFont="1" applyBorder="1" applyAlignment="1">
      <alignment vertical="top" wrapText="1"/>
    </xf>
    <xf numFmtId="0" fontId="37" fillId="0" borderId="7" xfId="0" applyFont="1" applyBorder="1" applyAlignment="1">
      <alignment horizontal="left" vertical="top"/>
    </xf>
    <xf numFmtId="0" fontId="37" fillId="0" borderId="5" xfId="0" applyFont="1" applyBorder="1" applyAlignment="1">
      <alignment horizontal="left" vertical="top"/>
    </xf>
    <xf numFmtId="0" fontId="37" fillId="0" borderId="22" xfId="0" applyFont="1" applyBorder="1" applyAlignment="1">
      <alignment horizontal="left" wrapText="1"/>
    </xf>
    <xf numFmtId="3" fontId="37" fillId="0" borderId="5" xfId="0" applyNumberFormat="1" applyFont="1" applyBorder="1" applyAlignment="1">
      <alignment horizontal="right"/>
    </xf>
    <xf numFmtId="0" fontId="37" fillId="0" borderId="7" xfId="0" applyFont="1" applyBorder="1" applyAlignment="1">
      <alignment vertical="top" textRotation="90"/>
    </xf>
    <xf numFmtId="0" fontId="17" fillId="12" borderId="1" xfId="0" applyFont="1" applyFill="1" applyBorder="1" applyAlignment="1">
      <alignment wrapText="1"/>
    </xf>
    <xf numFmtId="0" fontId="17" fillId="12" borderId="1" xfId="0" applyFont="1" applyFill="1" applyBorder="1" applyAlignment="1">
      <alignment horizontal="left" wrapText="1"/>
    </xf>
    <xf numFmtId="0" fontId="37" fillId="12" borderId="9" xfId="0" applyFont="1" applyFill="1" applyBorder="1" applyAlignment="1"/>
    <xf numFmtId="0" fontId="37" fillId="12" borderId="1" xfId="0" applyFont="1" applyFill="1" applyBorder="1" applyAlignment="1"/>
    <xf numFmtId="3" fontId="37" fillId="12" borderId="1" xfId="0" applyNumberFormat="1" applyFont="1" applyFill="1" applyBorder="1" applyAlignment="1"/>
    <xf numFmtId="0" fontId="37" fillId="12" borderId="3" xfId="0" applyFont="1" applyFill="1" applyBorder="1" applyAlignment="1"/>
    <xf numFmtId="0" fontId="37" fillId="0" borderId="14" xfId="0" applyFont="1" applyBorder="1" applyAlignment="1">
      <alignment horizontal="center" vertical="center"/>
    </xf>
    <xf numFmtId="0" fontId="17" fillId="9" borderId="1" xfId="0" applyFont="1" applyFill="1" applyBorder="1" applyAlignment="1">
      <alignment vertical="top" wrapText="1"/>
    </xf>
    <xf numFmtId="0" fontId="17" fillId="9" borderId="1" xfId="0" applyFont="1" applyFill="1" applyBorder="1" applyAlignment="1">
      <alignment horizontal="left" vertical="top" wrapText="1"/>
    </xf>
    <xf numFmtId="0" fontId="37" fillId="9" borderId="9" xfId="0" applyFont="1" applyFill="1" applyBorder="1"/>
    <xf numFmtId="0" fontId="37" fillId="9" borderId="1" xfId="0" applyFont="1" applyFill="1" applyBorder="1"/>
    <xf numFmtId="0" fontId="39" fillId="9" borderId="9" xfId="0" applyFont="1" applyFill="1" applyBorder="1" applyAlignment="1">
      <alignment horizontal="center"/>
    </xf>
    <xf numFmtId="3" fontId="39" fillId="9" borderId="1" xfId="0" applyNumberFormat="1" applyFont="1" applyFill="1" applyBorder="1"/>
    <xf numFmtId="0" fontId="37" fillId="9" borderId="3" xfId="0" applyFont="1" applyFill="1" applyBorder="1"/>
    <xf numFmtId="0" fontId="48" fillId="0" borderId="5" xfId="0" applyFont="1" applyFill="1" applyBorder="1" applyAlignment="1">
      <alignment horizontal="left" vertical="top" wrapText="1" readingOrder="1"/>
    </xf>
    <xf numFmtId="187" fontId="48" fillId="0" borderId="5" xfId="20" applyNumberFormat="1" applyFont="1" applyFill="1" applyBorder="1" applyAlignment="1">
      <alignment horizontal="center" vertical="top" wrapText="1" readingOrder="1"/>
    </xf>
    <xf numFmtId="0" fontId="47" fillId="7" borderId="6" xfId="0" applyFont="1" applyFill="1" applyBorder="1" applyAlignment="1">
      <alignment horizontal="center" vertical="top" wrapText="1" readingOrder="1"/>
    </xf>
    <xf numFmtId="0" fontId="30" fillId="0" borderId="0" xfId="0" applyFont="1" applyFill="1" applyAlignment="1">
      <alignment horizontal="center" vertical="center"/>
    </xf>
    <xf numFmtId="187" fontId="30" fillId="5" borderId="1" xfId="2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187" fontId="30" fillId="4" borderId="1" xfId="2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30" fillId="14" borderId="1" xfId="0" applyFont="1" applyFill="1" applyBorder="1" applyAlignment="1">
      <alignment horizontal="center" vertical="center" wrapText="1"/>
    </xf>
    <xf numFmtId="0" fontId="44" fillId="14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/>
    <xf numFmtId="187" fontId="9" fillId="5" borderId="1" xfId="20" applyNumberFormat="1" applyFont="1" applyFill="1" applyBorder="1"/>
    <xf numFmtId="187" fontId="54" fillId="5" borderId="1" xfId="20" applyNumberFormat="1" applyFont="1" applyFill="1" applyBorder="1"/>
    <xf numFmtId="187" fontId="30" fillId="4" borderId="1" xfId="20" applyNumberFormat="1" applyFont="1" applyFill="1" applyBorder="1"/>
    <xf numFmtId="187" fontId="9" fillId="4" borderId="1" xfId="20" applyNumberFormat="1" applyFont="1" applyFill="1" applyBorder="1"/>
    <xf numFmtId="187" fontId="44" fillId="4" borderId="1" xfId="20" applyNumberFormat="1" applyFont="1" applyFill="1" applyBorder="1"/>
    <xf numFmtId="187" fontId="9" fillId="14" borderId="1" xfId="20" applyNumberFormat="1" applyFont="1" applyFill="1" applyBorder="1"/>
    <xf numFmtId="187" fontId="11" fillId="14" borderId="1" xfId="0" applyNumberFormat="1" applyFont="1" applyFill="1" applyBorder="1"/>
    <xf numFmtId="0" fontId="30" fillId="0" borderId="1" xfId="0" applyFont="1" applyFill="1" applyBorder="1"/>
    <xf numFmtId="187" fontId="44" fillId="0" borderId="1" xfId="20" applyNumberFormat="1" applyFont="1" applyFill="1" applyBorder="1"/>
    <xf numFmtId="0" fontId="30" fillId="6" borderId="1" xfId="0" applyFont="1" applyFill="1" applyBorder="1" applyAlignment="1">
      <alignment horizontal="center"/>
    </xf>
    <xf numFmtId="0" fontId="30" fillId="6" borderId="1" xfId="0" applyFont="1" applyFill="1" applyBorder="1"/>
    <xf numFmtId="187" fontId="30" fillId="5" borderId="1" xfId="20" applyNumberFormat="1" applyFont="1" applyFill="1" applyBorder="1"/>
    <xf numFmtId="187" fontId="44" fillId="5" borderId="1" xfId="20" applyNumberFormat="1" applyFont="1" applyFill="1" applyBorder="1"/>
    <xf numFmtId="187" fontId="30" fillId="4" borderId="1" xfId="20" applyNumberFormat="1" applyFont="1" applyFill="1" applyBorder="1" applyAlignment="1">
      <alignment horizontal="right"/>
    </xf>
    <xf numFmtId="3" fontId="30" fillId="13" borderId="1" xfId="0" applyNumberFormat="1" applyFont="1" applyFill="1" applyBorder="1"/>
    <xf numFmtId="3" fontId="30" fillId="0" borderId="1" xfId="0" applyNumberFormat="1" applyFont="1" applyFill="1" applyBorder="1"/>
    <xf numFmtId="187" fontId="30" fillId="0" borderId="1" xfId="0" applyNumberFormat="1" applyFont="1" applyFill="1" applyBorder="1"/>
    <xf numFmtId="187" fontId="30" fillId="5" borderId="1" xfId="20" applyNumberFormat="1" applyFont="1" applyFill="1" applyBorder="1" applyAlignment="1">
      <alignment horizontal="right"/>
    </xf>
    <xf numFmtId="187" fontId="30" fillId="13" borderId="1" xfId="0" applyNumberFormat="1" applyFont="1" applyFill="1" applyBorder="1"/>
    <xf numFmtId="187" fontId="30" fillId="5" borderId="0" xfId="20" applyNumberFormat="1" applyFont="1" applyFill="1"/>
    <xf numFmtId="187" fontId="30" fillId="13" borderId="1" xfId="20" applyNumberFormat="1" applyFont="1" applyFill="1" applyBorder="1"/>
    <xf numFmtId="43" fontId="30" fillId="13" borderId="1" xfId="20" applyFont="1" applyFill="1" applyBorder="1"/>
    <xf numFmtId="187" fontId="30" fillId="0" borderId="1" xfId="20" applyNumberFormat="1" applyFont="1" applyFill="1" applyBorder="1"/>
    <xf numFmtId="0" fontId="44" fillId="6" borderId="1" xfId="0" applyFont="1" applyFill="1" applyBorder="1" applyAlignment="1">
      <alignment horizontal="center"/>
    </xf>
    <xf numFmtId="187" fontId="44" fillId="5" borderId="1" xfId="20" applyNumberFormat="1" applyFont="1" applyFill="1" applyBorder="1" applyAlignment="1">
      <alignment horizontal="center"/>
    </xf>
    <xf numFmtId="187" fontId="44" fillId="4" borderId="1" xfId="20" applyNumberFormat="1" applyFont="1" applyFill="1" applyBorder="1" applyAlignment="1">
      <alignment horizontal="center"/>
    </xf>
    <xf numFmtId="187" fontId="44" fillId="14" borderId="1" xfId="20" applyNumberFormat="1" applyFont="1" applyFill="1" applyBorder="1" applyAlignment="1">
      <alignment horizontal="center"/>
    </xf>
    <xf numFmtId="187" fontId="44" fillId="14" borderId="1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87" fontId="30" fillId="0" borderId="0" xfId="20" applyNumberFormat="1" applyFont="1" applyFill="1"/>
    <xf numFmtId="43" fontId="30" fillId="0" borderId="0" xfId="20" applyNumberFormat="1" applyFont="1" applyFill="1"/>
    <xf numFmtId="43" fontId="30" fillId="0" borderId="0" xfId="0" applyNumberFormat="1" applyFont="1" applyFill="1"/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vertical="top" wrapText="1"/>
    </xf>
    <xf numFmtId="187" fontId="9" fillId="0" borderId="5" xfId="20" applyNumberFormat="1" applyFont="1" applyBorder="1" applyAlignment="1">
      <alignment vertical="top" textRotation="90" wrapText="1"/>
    </xf>
    <xf numFmtId="187" fontId="9" fillId="0" borderId="6" xfId="20" applyNumberFormat="1" applyFont="1" applyBorder="1" applyAlignment="1">
      <alignment vertical="top" textRotation="90" wrapText="1"/>
    </xf>
    <xf numFmtId="0" fontId="9" fillId="0" borderId="7" xfId="0" applyFont="1" applyBorder="1" applyAlignment="1">
      <alignment horizontal="center" vertical="top" wrapText="1" readingOrder="1"/>
    </xf>
    <xf numFmtId="0" fontId="9" fillId="0" borderId="21" xfId="0" applyFont="1" applyFill="1" applyBorder="1" applyAlignment="1">
      <alignment vertical="top" wrapText="1"/>
    </xf>
    <xf numFmtId="187" fontId="9" fillId="0" borderId="1" xfId="20" applyNumberFormat="1" applyFont="1" applyBorder="1" applyAlignment="1">
      <alignment vertical="top" textRotation="90" wrapText="1"/>
    </xf>
    <xf numFmtId="0" fontId="9" fillId="0" borderId="6" xfId="0" applyFont="1" applyBorder="1"/>
    <xf numFmtId="187" fontId="9" fillId="0" borderId="7" xfId="20" applyNumberFormat="1" applyFont="1" applyBorder="1"/>
    <xf numFmtId="0" fontId="9" fillId="0" borderId="7" xfId="0" applyFont="1" applyBorder="1" applyAlignment="1">
      <alignment horizontal="center" vertical="top" textRotation="90" wrapText="1" readingOrder="1"/>
    </xf>
    <xf numFmtId="0" fontId="9" fillId="0" borderId="5" xfId="0" applyFont="1" applyBorder="1" applyAlignment="1">
      <alignment horizontal="center" vertical="top" textRotation="90" wrapText="1" readingOrder="1"/>
    </xf>
    <xf numFmtId="187" fontId="9" fillId="0" borderId="1" xfId="20" applyNumberFormat="1" applyFont="1" applyFill="1" applyBorder="1" applyAlignment="1">
      <alignment horizontal="center" vertical="top" textRotation="90" wrapText="1"/>
    </xf>
    <xf numFmtId="187" fontId="9" fillId="0" borderId="6" xfId="20" applyNumberFormat="1" applyFont="1" applyFill="1" applyBorder="1" applyAlignment="1">
      <alignment horizontal="center" vertical="top" textRotation="90" wrapText="1"/>
    </xf>
    <xf numFmtId="187" fontId="9" fillId="0" borderId="6" xfId="20" applyNumberFormat="1" applyFont="1" applyBorder="1"/>
    <xf numFmtId="0" fontId="9" fillId="9" borderId="1" xfId="0" applyFont="1" applyFill="1" applyBorder="1"/>
    <xf numFmtId="187" fontId="9" fillId="0" borderId="7" xfId="20" applyNumberFormat="1" applyFont="1" applyBorder="1" applyAlignment="1">
      <alignment horizontal="center" vertical="top" textRotation="90" wrapText="1" readingOrder="1"/>
    </xf>
    <xf numFmtId="187" fontId="9" fillId="0" borderId="7" xfId="20" applyNumberFormat="1" applyFont="1" applyBorder="1" applyAlignment="1">
      <alignment horizontal="center" vertical="top" wrapText="1" readingOrder="1"/>
    </xf>
    <xf numFmtId="187" fontId="9" fillId="0" borderId="21" xfId="20" applyNumberFormat="1" applyFont="1" applyFill="1" applyBorder="1" applyAlignment="1">
      <alignment vertical="top" wrapText="1"/>
    </xf>
    <xf numFmtId="187" fontId="9" fillId="0" borderId="9" xfId="20" applyNumberFormat="1" applyFont="1" applyFill="1" applyBorder="1" applyAlignment="1">
      <alignment vertical="top" wrapText="1"/>
    </xf>
    <xf numFmtId="187" fontId="9" fillId="0" borderId="5" xfId="20" applyNumberFormat="1" applyFont="1" applyBorder="1" applyAlignment="1">
      <alignment horizontal="center" vertical="top" textRotation="90" wrapText="1" readingOrder="1"/>
    </xf>
    <xf numFmtId="187" fontId="9" fillId="9" borderId="1" xfId="20" applyNumberFormat="1" applyFont="1" applyFill="1" applyBorder="1"/>
    <xf numFmtId="187" fontId="2" fillId="0" borderId="0" xfId="20" applyNumberFormat="1" applyFont="1"/>
    <xf numFmtId="187" fontId="11" fillId="0" borderId="1" xfId="20" applyNumberFormat="1" applyFont="1" applyBorder="1" applyAlignment="1">
      <alignment horizontal="center" vertical="top" textRotation="90" wrapText="1"/>
    </xf>
    <xf numFmtId="187" fontId="9" fillId="0" borderId="0" xfId="20" applyNumberFormat="1" applyFont="1" applyBorder="1"/>
    <xf numFmtId="187" fontId="9" fillId="0" borderId="1" xfId="20" applyNumberFormat="1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/>
    </xf>
    <xf numFmtId="187" fontId="9" fillId="0" borderId="5" xfId="20" applyNumberFormat="1" applyFont="1" applyBorder="1"/>
    <xf numFmtId="187" fontId="9" fillId="0" borderId="1" xfId="20" applyNumberFormat="1" applyFont="1" applyBorder="1"/>
    <xf numFmtId="187" fontId="9" fillId="0" borderId="7" xfId="20" applyNumberFormat="1" applyFont="1" applyFill="1" applyBorder="1" applyAlignment="1">
      <alignment horizontal="left" vertical="top" wrapText="1"/>
    </xf>
    <xf numFmtId="187" fontId="9" fillId="0" borderId="0" xfId="20" applyNumberFormat="1" applyFont="1" applyBorder="1" applyAlignment="1">
      <alignment vertical="top" textRotation="90" wrapText="1"/>
    </xf>
    <xf numFmtId="187" fontId="9" fillId="0" borderId="16" xfId="20" applyNumberFormat="1" applyFont="1" applyBorder="1" applyAlignment="1">
      <alignment horizontal="center" vertical="top" wrapText="1" readingOrder="1"/>
    </xf>
    <xf numFmtId="187" fontId="9" fillId="0" borderId="16" xfId="20" applyNumberFormat="1" applyFont="1" applyBorder="1" applyAlignment="1">
      <alignment vertical="top" textRotation="90" wrapText="1"/>
    </xf>
    <xf numFmtId="187" fontId="9" fillId="0" borderId="2" xfId="20" applyNumberFormat="1" applyFont="1" applyBorder="1" applyAlignment="1">
      <alignment vertical="top" textRotation="90" wrapText="1"/>
    </xf>
    <xf numFmtId="187" fontId="9" fillId="0" borderId="8" xfId="20" applyNumberFormat="1" applyFont="1" applyBorder="1" applyAlignment="1">
      <alignment vertical="top" textRotation="90" wrapText="1"/>
    </xf>
    <xf numFmtId="187" fontId="9" fillId="0" borderId="5" xfId="20" applyNumberFormat="1" applyFont="1" applyBorder="1" applyAlignment="1">
      <alignment horizontal="center" vertical="top" wrapText="1" readingOrder="1"/>
    </xf>
    <xf numFmtId="187" fontId="9" fillId="0" borderId="14" xfId="20" applyNumberFormat="1" applyFont="1" applyBorder="1" applyAlignment="1">
      <alignment vertical="top" textRotation="90" wrapText="1"/>
    </xf>
    <xf numFmtId="187" fontId="9" fillId="0" borderId="4" xfId="20" applyNumberFormat="1" applyFont="1" applyBorder="1" applyAlignment="1">
      <alignment vertical="top" textRotation="90" wrapText="1"/>
    </xf>
    <xf numFmtId="187" fontId="9" fillId="0" borderId="15" xfId="20" applyNumberFormat="1" applyFont="1" applyBorder="1" applyAlignment="1">
      <alignment vertical="top" textRotation="90" wrapText="1"/>
    </xf>
    <xf numFmtId="187" fontId="9" fillId="0" borderId="1" xfId="20" applyNumberFormat="1" applyFont="1" applyBorder="1" applyAlignment="1">
      <alignment horizontal="center" vertical="top" wrapText="1" readingOrder="1"/>
    </xf>
    <xf numFmtId="187" fontId="9" fillId="0" borderId="1" xfId="20" applyNumberFormat="1" applyFont="1" applyBorder="1" applyAlignment="1">
      <alignment horizontal="center" vertical="top" textRotation="90" wrapText="1" readingOrder="1"/>
    </xf>
    <xf numFmtId="187" fontId="9" fillId="0" borderId="0" xfId="20" applyNumberFormat="1" applyFont="1" applyBorder="1" applyAlignment="1">
      <alignment horizontal="center" vertical="top" textRotation="90" wrapText="1" readingOrder="1"/>
    </xf>
    <xf numFmtId="187" fontId="9" fillId="9" borderId="3" xfId="20" applyNumberFormat="1" applyFont="1" applyFill="1" applyBorder="1" applyAlignment="1"/>
    <xf numFmtId="187" fontId="9" fillId="9" borderId="21" xfId="20" applyNumberFormat="1" applyFont="1" applyFill="1" applyBorder="1" applyAlignment="1"/>
    <xf numFmtId="187" fontId="9" fillId="0" borderId="6" xfId="20" applyNumberFormat="1" applyFont="1" applyFill="1" applyBorder="1" applyAlignment="1">
      <alignment horizontal="left" vertical="top" wrapText="1"/>
    </xf>
    <xf numFmtId="187" fontId="9" fillId="0" borderId="16" xfId="20" applyNumberFormat="1" applyFont="1" applyBorder="1"/>
    <xf numFmtId="187" fontId="11" fillId="0" borderId="1" xfId="20" applyNumberFormat="1" applyFont="1" applyBorder="1" applyAlignment="1">
      <alignment vertical="center" wrapText="1"/>
    </xf>
    <xf numFmtId="187" fontId="11" fillId="0" borderId="1" xfId="20" applyNumberFormat="1" applyFont="1" applyBorder="1" applyAlignment="1">
      <alignment vertical="center" textRotation="90" wrapText="1"/>
    </xf>
    <xf numFmtId="187" fontId="9" fillId="0" borderId="1" xfId="20" applyNumberFormat="1" applyFont="1" applyBorder="1" applyAlignment="1">
      <alignment vertical="top" wrapText="1"/>
    </xf>
    <xf numFmtId="187" fontId="9" fillId="0" borderId="0" xfId="20" applyNumberFormat="1" applyFont="1"/>
    <xf numFmtId="0" fontId="9" fillId="2" borderId="16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3" fontId="9" fillId="0" borderId="0" xfId="0" applyNumberFormat="1" applyFont="1" applyBorder="1"/>
    <xf numFmtId="0" fontId="9" fillId="2" borderId="6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7" borderId="6" xfId="0" applyFont="1" applyFill="1" applyBorder="1" applyAlignment="1">
      <alignment horizontal="center" vertical="top" wrapText="1" readingOrder="1"/>
    </xf>
    <xf numFmtId="0" fontId="9" fillId="7" borderId="23" xfId="0" applyFont="1" applyFill="1" applyBorder="1" applyAlignment="1">
      <alignment horizontal="center" vertical="top" wrapText="1" readingOrder="1"/>
    </xf>
    <xf numFmtId="3" fontId="9" fillId="7" borderId="1" xfId="20" applyNumberFormat="1" applyFont="1" applyFill="1" applyBorder="1" applyAlignment="1">
      <alignment horizontal="center" vertical="top" wrapText="1" readingOrder="1"/>
    </xf>
    <xf numFmtId="0" fontId="9" fillId="0" borderId="0" xfId="0" applyFont="1" applyBorder="1"/>
    <xf numFmtId="0" fontId="9" fillId="0" borderId="0" xfId="0" applyFont="1" applyFill="1"/>
    <xf numFmtId="2" fontId="11" fillId="0" borderId="7" xfId="0" applyNumberFormat="1" applyFont="1" applyFill="1" applyBorder="1" applyAlignment="1">
      <alignment vertical="top" wrapText="1"/>
    </xf>
    <xf numFmtId="187" fontId="9" fillId="0" borderId="7" xfId="20" applyNumberFormat="1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 vertical="top" wrapText="1"/>
    </xf>
    <xf numFmtId="187" fontId="9" fillId="0" borderId="7" xfId="2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 vertical="top" wrapText="1"/>
    </xf>
    <xf numFmtId="187" fontId="9" fillId="7" borderId="1" xfId="2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top" wrapText="1"/>
    </xf>
    <xf numFmtId="187" fontId="9" fillId="0" borderId="5" xfId="2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" fontId="9" fillId="0" borderId="5" xfId="0" applyNumberFormat="1" applyFont="1" applyFill="1" applyBorder="1" applyAlignment="1">
      <alignment horizontal="left" vertical="top" wrapText="1"/>
    </xf>
    <xf numFmtId="187" fontId="9" fillId="0" borderId="7" xfId="20" applyNumberFormat="1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vertical="top" textRotation="90" wrapText="1"/>
    </xf>
    <xf numFmtId="3" fontId="12" fillId="0" borderId="7" xfId="0" applyNumberFormat="1" applyFont="1" applyFill="1" applyBorder="1" applyAlignment="1">
      <alignment vertical="top" wrapText="1"/>
    </xf>
    <xf numFmtId="0" fontId="9" fillId="0" borderId="14" xfId="0" applyFont="1" applyBorder="1"/>
    <xf numFmtId="3" fontId="9" fillId="0" borderId="5" xfId="0" applyNumberFormat="1" applyFont="1" applyFill="1" applyBorder="1" applyAlignment="1">
      <alignment vertical="top" wrapText="1"/>
    </xf>
    <xf numFmtId="187" fontId="9" fillId="0" borderId="5" xfId="2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vertical="top" wrapText="1"/>
    </xf>
    <xf numFmtId="187" fontId="9" fillId="0" borderId="1" xfId="2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 readingOrder="1"/>
    </xf>
    <xf numFmtId="187" fontId="9" fillId="0" borderId="7" xfId="20" applyNumberFormat="1" applyFont="1" applyBorder="1" applyAlignment="1">
      <alignment horizontal="center" wrapText="1" readingOrder="1"/>
    </xf>
    <xf numFmtId="2" fontId="9" fillId="0" borderId="6" xfId="0" applyNumberFormat="1" applyFont="1" applyFill="1" applyBorder="1" applyAlignment="1">
      <alignment vertical="top" wrapText="1"/>
    </xf>
    <xf numFmtId="187" fontId="9" fillId="0" borderId="6" xfId="20" applyNumberFormat="1" applyFont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left" vertical="top" wrapText="1"/>
    </xf>
    <xf numFmtId="1" fontId="9" fillId="0" borderId="16" xfId="0" applyNumberFormat="1" applyFont="1" applyFill="1" applyBorder="1" applyAlignment="1">
      <alignment horizontal="left" vertical="top" wrapText="1"/>
    </xf>
    <xf numFmtId="2" fontId="9" fillId="7" borderId="1" xfId="0" applyNumberFormat="1" applyFont="1" applyFill="1" applyBorder="1" applyAlignment="1">
      <alignment horizontal="center" vertical="top" wrapText="1"/>
    </xf>
    <xf numFmtId="187" fontId="9" fillId="7" borderId="1" xfId="2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187" fontId="9" fillId="2" borderId="1" xfId="20" applyNumberFormat="1" applyFont="1" applyFill="1" applyBorder="1" applyAlignment="1">
      <alignment horizontal="left" vertical="top" wrapText="1"/>
    </xf>
    <xf numFmtId="0" fontId="9" fillId="9" borderId="9" xfId="0" applyFont="1" applyFill="1" applyBorder="1" applyAlignment="1"/>
    <xf numFmtId="187" fontId="9" fillId="0" borderId="7" xfId="20" applyNumberFormat="1" applyFont="1" applyFill="1" applyBorder="1" applyAlignment="1">
      <alignment vertical="top" wrapText="1"/>
    </xf>
    <xf numFmtId="187" fontId="9" fillId="2" borderId="7" xfId="20" applyNumberFormat="1" applyFont="1" applyFill="1" applyBorder="1" applyAlignment="1">
      <alignment horizontal="left" vertical="top" wrapText="1"/>
    </xf>
    <xf numFmtId="187" fontId="9" fillId="0" borderId="16" xfId="20" applyNumberFormat="1" applyFont="1" applyFill="1" applyBorder="1" applyAlignment="1">
      <alignment horizontal="left" vertical="top" wrapText="1"/>
    </xf>
    <xf numFmtId="187" fontId="9" fillId="0" borderId="7" xfId="20" applyNumberFormat="1" applyFont="1" applyBorder="1" applyAlignment="1">
      <alignment vertical="top"/>
    </xf>
    <xf numFmtId="187" fontId="9" fillId="0" borderId="14" xfId="20" applyNumberFormat="1" applyFont="1" applyFill="1" applyBorder="1" applyAlignment="1">
      <alignment vertical="top"/>
    </xf>
    <xf numFmtId="187" fontId="9" fillId="2" borderId="6" xfId="20" applyNumberFormat="1" applyFont="1" applyFill="1" applyBorder="1" applyAlignment="1">
      <alignment horizontal="left" vertical="top" wrapText="1"/>
    </xf>
    <xf numFmtId="187" fontId="9" fillId="0" borderId="8" xfId="20" applyNumberFormat="1" applyFont="1" applyFill="1" applyBorder="1" applyAlignment="1">
      <alignment horizontal="left" vertical="top" wrapText="1"/>
    </xf>
    <xf numFmtId="187" fontId="9" fillId="7" borderId="1" xfId="20" applyNumberFormat="1" applyFont="1" applyFill="1" applyBorder="1" applyAlignment="1">
      <alignment horizontal="center" vertical="top" wrapText="1"/>
    </xf>
    <xf numFmtId="187" fontId="9" fillId="0" borderId="6" xfId="20" applyNumberFormat="1" applyFont="1" applyFill="1" applyBorder="1" applyAlignment="1">
      <alignment vertical="top" textRotation="90" wrapText="1"/>
    </xf>
    <xf numFmtId="187" fontId="11" fillId="0" borderId="6" xfId="20" applyNumberFormat="1" applyFont="1" applyFill="1" applyBorder="1" applyAlignment="1">
      <alignment horizontal="left" vertical="top" wrapText="1"/>
    </xf>
    <xf numFmtId="0" fontId="9" fillId="2" borderId="0" xfId="0" applyFont="1" applyFill="1"/>
    <xf numFmtId="0" fontId="11" fillId="0" borderId="14" xfId="0" applyFont="1" applyFill="1" applyBorder="1" applyAlignment="1">
      <alignment horizontal="left" vertical="top" wrapText="1"/>
    </xf>
    <xf numFmtId="187" fontId="9" fillId="0" borderId="14" xfId="20" applyNumberFormat="1" applyFont="1" applyBorder="1" applyAlignment="1">
      <alignment vertical="top"/>
    </xf>
    <xf numFmtId="187" fontId="9" fillId="2" borderId="14" xfId="20" applyNumberFormat="1" applyFont="1" applyFill="1" applyBorder="1" applyAlignment="1">
      <alignment horizontal="left" vertical="top" wrapText="1"/>
    </xf>
    <xf numFmtId="3" fontId="11" fillId="7" borderId="9" xfId="0" applyNumberFormat="1" applyFont="1" applyFill="1" applyBorder="1" applyAlignment="1">
      <alignment horizontal="center" vertical="top" wrapText="1"/>
    </xf>
    <xf numFmtId="3" fontId="11" fillId="7" borderId="1" xfId="0" applyNumberFormat="1" applyFont="1" applyFill="1" applyBorder="1" applyAlignment="1">
      <alignment horizontal="center" vertical="top" wrapText="1"/>
    </xf>
    <xf numFmtId="187" fontId="9" fillId="0" borderId="1" xfId="20" applyNumberFormat="1" applyFont="1" applyFill="1" applyBorder="1" applyAlignment="1">
      <alignment horizontal="left" vertical="top" wrapText="1"/>
    </xf>
    <xf numFmtId="17" fontId="9" fillId="0" borderId="1" xfId="20" applyNumberFormat="1" applyFont="1" applyFill="1" applyBorder="1" applyAlignment="1">
      <alignment horizontal="center" vertical="top" wrapText="1"/>
    </xf>
    <xf numFmtId="187" fontId="9" fillId="0" borderId="7" xfId="20" applyNumberFormat="1" applyFont="1" applyFill="1" applyBorder="1" applyAlignment="1">
      <alignment vertical="top" textRotation="90" wrapText="1"/>
    </xf>
    <xf numFmtId="187" fontId="11" fillId="0" borderId="7" xfId="20" applyNumberFormat="1" applyFont="1" applyFill="1" applyBorder="1" applyAlignment="1">
      <alignment horizontal="left" vertical="top" wrapText="1"/>
    </xf>
    <xf numFmtId="3" fontId="11" fillId="7" borderId="9" xfId="0" applyNumberFormat="1" applyFont="1" applyFill="1" applyBorder="1" applyAlignment="1">
      <alignment horizontal="center" vertical="top" wrapText="1"/>
    </xf>
    <xf numFmtId="3" fontId="11" fillId="7" borderId="1" xfId="0" applyNumberFormat="1" applyFont="1" applyFill="1" applyBorder="1" applyAlignment="1">
      <alignment horizontal="center" vertical="top" wrapText="1"/>
    </xf>
    <xf numFmtId="17" fontId="9" fillId="0" borderId="6" xfId="20" applyNumberFormat="1" applyFont="1" applyFill="1" applyBorder="1" applyAlignment="1">
      <alignment horizontal="center" vertical="top" wrapText="1"/>
    </xf>
    <xf numFmtId="0" fontId="11" fillId="2" borderId="5" xfId="0" applyFont="1" applyFill="1" applyBorder="1"/>
    <xf numFmtId="0" fontId="9" fillId="2" borderId="0" xfId="0" applyFont="1" applyFill="1" applyBorder="1"/>
    <xf numFmtId="0" fontId="9" fillId="0" borderId="7" xfId="0" applyFont="1" applyBorder="1" applyAlignment="1">
      <alignment vertical="top"/>
    </xf>
    <xf numFmtId="187" fontId="9" fillId="0" borderId="14" xfId="20" applyNumberFormat="1" applyFont="1" applyFill="1" applyBorder="1"/>
    <xf numFmtId="2" fontId="11" fillId="0" borderId="7" xfId="0" applyNumberFormat="1" applyFont="1" applyBorder="1" applyAlignment="1">
      <alignment vertical="top"/>
    </xf>
    <xf numFmtId="2" fontId="9" fillId="0" borderId="7" xfId="0" applyNumberFormat="1" applyFont="1" applyBorder="1" applyAlignment="1">
      <alignment vertical="top" wrapText="1"/>
    </xf>
    <xf numFmtId="2" fontId="9" fillId="8" borderId="1" xfId="0" applyNumberFormat="1" applyFont="1" applyFill="1" applyBorder="1" applyAlignment="1">
      <alignment horizontal="center" vertical="top" wrapText="1"/>
    </xf>
    <xf numFmtId="187" fontId="9" fillId="8" borderId="9" xfId="20" applyNumberFormat="1" applyFont="1" applyFill="1" applyBorder="1" applyAlignment="1">
      <alignment vertical="top"/>
    </xf>
    <xf numFmtId="0" fontId="9" fillId="2" borderId="5" xfId="0" applyFont="1" applyFill="1" applyBorder="1"/>
    <xf numFmtId="0" fontId="9" fillId="2" borderId="4" xfId="0" applyFont="1" applyFill="1" applyBorder="1"/>
    <xf numFmtId="187" fontId="9" fillId="0" borderId="7" xfId="20" applyNumberFormat="1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horizontal="left" vertical="top" wrapText="1"/>
    </xf>
    <xf numFmtId="187" fontId="9" fillId="0" borderId="14" xfId="20" applyNumberFormat="1" applyFont="1" applyBorder="1" applyAlignment="1">
      <alignment vertical="top" wrapText="1"/>
    </xf>
    <xf numFmtId="0" fontId="11" fillId="2" borderId="7" xfId="0" applyFont="1" applyFill="1" applyBorder="1"/>
    <xf numFmtId="0" fontId="9" fillId="2" borderId="7" xfId="0" applyFont="1" applyFill="1" applyBorder="1" applyAlignment="1">
      <alignment vertical="top" wrapText="1"/>
    </xf>
    <xf numFmtId="187" fontId="9" fillId="0" borderId="7" xfId="20" applyNumberFormat="1" applyFont="1" applyBorder="1" applyAlignment="1">
      <alignment vertical="top" wrapText="1"/>
    </xf>
    <xf numFmtId="187" fontId="9" fillId="8" borderId="1" xfId="20" applyNumberFormat="1" applyFont="1" applyFill="1" applyBorder="1" applyAlignment="1">
      <alignment vertical="top" wrapText="1"/>
    </xf>
    <xf numFmtId="187" fontId="9" fillId="0" borderId="23" xfId="20" applyNumberFormat="1" applyFont="1" applyFill="1" applyBorder="1" applyAlignment="1">
      <alignment vertical="top" textRotation="90" wrapText="1"/>
    </xf>
    <xf numFmtId="0" fontId="9" fillId="2" borderId="5" xfId="0" applyFont="1" applyFill="1" applyBorder="1" applyAlignment="1">
      <alignment vertical="top" wrapText="1"/>
    </xf>
    <xf numFmtId="187" fontId="9" fillId="2" borderId="0" xfId="20" applyNumberFormat="1" applyFont="1" applyFill="1" applyBorder="1"/>
    <xf numFmtId="2" fontId="9" fillId="7" borderId="1" xfId="0" applyNumberFormat="1" applyFont="1" applyFill="1" applyBorder="1" applyAlignment="1">
      <alignment horizontal="center" vertical="top" wrapText="1"/>
    </xf>
    <xf numFmtId="187" fontId="9" fillId="7" borderId="1" xfId="20" applyNumberFormat="1" applyFont="1" applyFill="1" applyBorder="1" applyAlignment="1">
      <alignment vertical="top" wrapText="1"/>
    </xf>
    <xf numFmtId="0" fontId="9" fillId="0" borderId="16" xfId="0" applyFont="1" applyBorder="1" applyAlignment="1">
      <alignment vertical="top"/>
    </xf>
    <xf numFmtId="187" fontId="9" fillId="0" borderId="7" xfId="20" applyNumberFormat="1" applyFont="1" applyFill="1" applyBorder="1" applyAlignment="1"/>
    <xf numFmtId="0" fontId="7" fillId="0" borderId="16" xfId="0" applyFont="1" applyBorder="1" applyAlignment="1">
      <alignment vertical="top" wrapText="1"/>
    </xf>
    <xf numFmtId="187" fontId="9" fillId="0" borderId="7" xfId="20" applyNumberFormat="1" applyFont="1" applyFill="1" applyBorder="1"/>
    <xf numFmtId="187" fontId="9" fillId="7" borderId="1" xfId="20" applyNumberFormat="1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187" fontId="11" fillId="9" borderId="1" xfId="20" applyNumberFormat="1" applyFont="1" applyFill="1" applyBorder="1"/>
    <xf numFmtId="3" fontId="9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/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2" fontId="9" fillId="7" borderId="21" xfId="0" applyNumberFormat="1" applyFont="1" applyFill="1" applyBorder="1" applyAlignment="1">
      <alignment horizontal="center" vertical="top" wrapText="1"/>
    </xf>
    <xf numFmtId="187" fontId="9" fillId="7" borderId="21" xfId="2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textRotation="90" wrapText="1"/>
    </xf>
    <xf numFmtId="0" fontId="9" fillId="0" borderId="2" xfId="0" applyFont="1" applyFill="1" applyBorder="1" applyAlignment="1">
      <alignment vertical="top" wrapText="1"/>
    </xf>
    <xf numFmtId="187" fontId="9" fillId="0" borderId="5" xfId="20" applyNumberFormat="1" applyFont="1" applyBorder="1" applyAlignment="1">
      <alignment horizontal="center" vertical="top" textRotation="90" readingOrder="1"/>
    </xf>
    <xf numFmtId="187" fontId="9" fillId="0" borderId="7" xfId="20" applyNumberFormat="1" applyFont="1" applyBorder="1" applyAlignment="1">
      <alignment horizontal="center" vertical="top" textRotation="90" readingOrder="1"/>
    </xf>
    <xf numFmtId="3" fontId="11" fillId="7" borderId="1" xfId="20" applyNumberFormat="1" applyFont="1" applyFill="1" applyBorder="1" applyAlignment="1">
      <alignment vertical="center" wrapText="1" readingOrder="1"/>
    </xf>
    <xf numFmtId="3" fontId="36" fillId="0" borderId="0" xfId="0" applyNumberFormat="1" applyFont="1"/>
    <xf numFmtId="187" fontId="30" fillId="12" borderId="1" xfId="20" applyNumberFormat="1" applyFont="1" applyFill="1" applyBorder="1"/>
    <xf numFmtId="187" fontId="30" fillId="12" borderId="0" xfId="20" applyNumberFormat="1" applyFont="1" applyFill="1"/>
    <xf numFmtId="0" fontId="48" fillId="12" borderId="5" xfId="0" applyFont="1" applyFill="1" applyBorder="1" applyAlignment="1">
      <alignment vertical="top" wrapText="1" readingOrder="1"/>
    </xf>
    <xf numFmtId="3" fontId="48" fillId="12" borderId="5" xfId="20" applyNumberFormat="1" applyFont="1" applyFill="1" applyBorder="1" applyAlignment="1">
      <alignment vertical="top" wrapText="1" readingOrder="1"/>
    </xf>
    <xf numFmtId="0" fontId="30" fillId="12" borderId="6" xfId="0" applyFont="1" applyFill="1" applyBorder="1" applyAlignment="1">
      <alignment horizontal="left" vertical="top" wrapText="1"/>
    </xf>
    <xf numFmtId="3" fontId="48" fillId="12" borderId="6" xfId="20" applyNumberFormat="1" applyFont="1" applyFill="1" applyBorder="1" applyAlignment="1">
      <alignment vertical="top" wrapText="1" readingOrder="1"/>
    </xf>
    <xf numFmtId="3" fontId="48" fillId="12" borderId="1" xfId="20" applyNumberFormat="1" applyFont="1" applyFill="1" applyBorder="1" applyAlignment="1">
      <alignment vertical="top" wrapText="1" readingOrder="1"/>
    </xf>
    <xf numFmtId="0" fontId="11" fillId="12" borderId="1" xfId="0" applyFont="1" applyFill="1" applyBorder="1" applyAlignment="1">
      <alignment horizontal="left" vertical="top" wrapText="1"/>
    </xf>
    <xf numFmtId="43" fontId="11" fillId="12" borderId="1" xfId="20" applyFont="1" applyFill="1" applyBorder="1" applyAlignment="1">
      <alignment horizontal="center" vertical="top" textRotation="90" wrapText="1"/>
    </xf>
    <xf numFmtId="0" fontId="47" fillId="12" borderId="6" xfId="0" applyFont="1" applyFill="1" applyBorder="1" applyAlignment="1">
      <alignment horizontal="center" vertical="top" wrapText="1" readingOrder="1"/>
    </xf>
    <xf numFmtId="3" fontId="47" fillId="12" borderId="1" xfId="20" applyNumberFormat="1" applyFont="1" applyFill="1" applyBorder="1" applyAlignment="1">
      <alignment vertical="top" wrapText="1" readingOrder="1"/>
    </xf>
    <xf numFmtId="3" fontId="48" fillId="12" borderId="7" xfId="20" applyNumberFormat="1" applyFont="1" applyFill="1" applyBorder="1" applyAlignment="1">
      <alignment vertical="top" wrapText="1" readingOrder="1"/>
    </xf>
    <xf numFmtId="0" fontId="48" fillId="12" borderId="5" xfId="0" applyFont="1" applyFill="1" applyBorder="1" applyAlignment="1">
      <alignment horizontal="left" vertical="top" wrapText="1" readingOrder="1"/>
    </xf>
    <xf numFmtId="0" fontId="48" fillId="12" borderId="7" xfId="0" applyFont="1" applyFill="1" applyBorder="1" applyAlignment="1">
      <alignment horizontal="left" vertical="top" wrapText="1" readingOrder="1"/>
    </xf>
    <xf numFmtId="0" fontId="9" fillId="12" borderId="7" xfId="0" applyFont="1" applyFill="1" applyBorder="1" applyAlignment="1">
      <alignment vertical="top" wrapText="1"/>
    </xf>
    <xf numFmtId="0" fontId="48" fillId="12" borderId="6" xfId="0" applyFont="1" applyFill="1" applyBorder="1" applyAlignment="1">
      <alignment horizontal="left" vertical="top" wrapText="1" readingOrder="1"/>
    </xf>
    <xf numFmtId="0" fontId="48" fillId="12" borderId="1" xfId="0" applyFont="1" applyFill="1" applyBorder="1" applyAlignment="1">
      <alignment horizontal="center" vertical="top" wrapText="1" readingOrder="1"/>
    </xf>
    <xf numFmtId="0" fontId="30" fillId="12" borderId="1" xfId="0" applyFont="1" applyFill="1" applyBorder="1"/>
    <xf numFmtId="0" fontId="48" fillId="12" borderId="1" xfId="0" applyFont="1" applyFill="1" applyBorder="1" applyAlignment="1">
      <alignment horizontal="left" vertical="top" wrapText="1" readingOrder="1"/>
    </xf>
    <xf numFmtId="0" fontId="48" fillId="3" borderId="5" xfId="0" applyFont="1" applyFill="1" applyBorder="1" applyAlignment="1">
      <alignment horizontal="left" vertical="center" wrapText="1" readingOrder="1"/>
    </xf>
    <xf numFmtId="3" fontId="48" fillId="3" borderId="5" xfId="20" applyNumberFormat="1" applyFont="1" applyFill="1" applyBorder="1" applyAlignment="1">
      <alignment vertical="top" wrapText="1" readingOrder="1"/>
    </xf>
    <xf numFmtId="0" fontId="48" fillId="3" borderId="7" xfId="0" applyFont="1" applyFill="1" applyBorder="1" applyAlignment="1">
      <alignment horizontal="left" vertical="center" wrapText="1" readingOrder="1"/>
    </xf>
    <xf numFmtId="3" fontId="48" fillId="3" borderId="7" xfId="20" applyNumberFormat="1" applyFont="1" applyFill="1" applyBorder="1" applyAlignment="1">
      <alignment vertical="top" wrapText="1" readingOrder="1"/>
    </xf>
    <xf numFmtId="0" fontId="48" fillId="3" borderId="16" xfId="0" applyFont="1" applyFill="1" applyBorder="1" applyAlignment="1">
      <alignment horizontal="left" vertical="center" wrapText="1" readingOrder="1"/>
    </xf>
    <xf numFmtId="0" fontId="9" fillId="3" borderId="7" xfId="0" applyFont="1" applyFill="1" applyBorder="1" applyAlignment="1">
      <alignment horizontal="left" vertical="center" wrapText="1" readingOrder="1"/>
    </xf>
    <xf numFmtId="0" fontId="48" fillId="3" borderId="6" xfId="0" applyFont="1" applyFill="1" applyBorder="1" applyAlignment="1">
      <alignment horizontal="left" vertical="center" wrapText="1" readingOrder="1"/>
    </xf>
    <xf numFmtId="3" fontId="48" fillId="3" borderId="6" xfId="20" applyNumberFormat="1" applyFont="1" applyFill="1" applyBorder="1" applyAlignment="1">
      <alignment vertical="top" wrapText="1" readingOrder="1"/>
    </xf>
    <xf numFmtId="0" fontId="48" fillId="3" borderId="1" xfId="0" applyFont="1" applyFill="1" applyBorder="1" applyAlignment="1">
      <alignment horizontal="center" vertical="center" wrapText="1" readingOrder="1"/>
    </xf>
    <xf numFmtId="3" fontId="48" fillId="3" borderId="1" xfId="20" applyNumberFormat="1" applyFont="1" applyFill="1" applyBorder="1" applyAlignment="1">
      <alignment vertical="top" wrapText="1" readingOrder="1"/>
    </xf>
    <xf numFmtId="0" fontId="48" fillId="3" borderId="14" xfId="0" applyFont="1" applyFill="1" applyBorder="1" applyAlignment="1">
      <alignment horizontal="left" vertical="center" wrapText="1" readingOrder="1"/>
    </xf>
    <xf numFmtId="0" fontId="9" fillId="3" borderId="7" xfId="20" applyNumberFormat="1" applyFont="1" applyFill="1" applyBorder="1" applyAlignment="1">
      <alignment horizontal="left" vertical="top" wrapText="1" readingOrder="1"/>
    </xf>
    <xf numFmtId="0" fontId="48" fillId="3" borderId="7" xfId="0" applyNumberFormat="1" applyFont="1" applyFill="1" applyBorder="1" applyAlignment="1">
      <alignment horizontal="left" vertical="center" wrapText="1" readingOrder="1"/>
    </xf>
    <xf numFmtId="0" fontId="48" fillId="3" borderId="9" xfId="0" applyFont="1" applyFill="1" applyBorder="1" applyAlignment="1">
      <alignment horizontal="center" vertical="center" wrapText="1" readingOrder="1"/>
    </xf>
    <xf numFmtId="0" fontId="30" fillId="3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 readingOrder="1"/>
    </xf>
    <xf numFmtId="3" fontId="9" fillId="4" borderId="1" xfId="20" applyNumberFormat="1" applyFont="1" applyFill="1" applyBorder="1" applyAlignment="1">
      <alignment vertical="top" wrapText="1" readingOrder="1"/>
    </xf>
    <xf numFmtId="187" fontId="9" fillId="4" borderId="5" xfId="20" applyNumberFormat="1" applyFont="1" applyFill="1" applyBorder="1"/>
    <xf numFmtId="187" fontId="9" fillId="4" borderId="4" xfId="20" applyNumberFormat="1" applyFont="1" applyFill="1" applyBorder="1"/>
    <xf numFmtId="0" fontId="9" fillId="4" borderId="1" xfId="0" applyFont="1" applyFill="1" applyBorder="1" applyAlignment="1">
      <alignment horizontal="left" vertical="top" wrapText="1"/>
    </xf>
    <xf numFmtId="187" fontId="9" fillId="4" borderId="7" xfId="20" applyNumberFormat="1" applyFont="1" applyFill="1" applyBorder="1"/>
    <xf numFmtId="187" fontId="9" fillId="4" borderId="0" xfId="20" applyNumberFormat="1" applyFont="1" applyFill="1" applyBorder="1"/>
    <xf numFmtId="0" fontId="9" fillId="4" borderId="1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top" textRotation="90" wrapText="1"/>
    </xf>
    <xf numFmtId="0" fontId="9" fillId="4" borderId="7" xfId="0" applyFont="1" applyFill="1" applyBorder="1" applyAlignment="1">
      <alignment horizontal="center" vertical="top" wrapText="1"/>
    </xf>
    <xf numFmtId="187" fontId="9" fillId="4" borderId="7" xfId="20" applyNumberFormat="1" applyFont="1" applyFill="1" applyBorder="1" applyAlignment="1">
      <alignment horizontal="center" vertical="top" textRotation="90" wrapText="1"/>
    </xf>
    <xf numFmtId="0" fontId="9" fillId="4" borderId="1" xfId="0" applyFont="1" applyFill="1" applyBorder="1"/>
    <xf numFmtId="3" fontId="9" fillId="4" borderId="0" xfId="0" applyNumberFormat="1" applyFont="1" applyFill="1" applyBorder="1"/>
    <xf numFmtId="0" fontId="9" fillId="4" borderId="1" xfId="0" applyFont="1" applyFill="1" applyBorder="1" applyAlignment="1">
      <alignment horizontal="center" vertical="top" wrapText="1" readingOrder="1"/>
    </xf>
    <xf numFmtId="187" fontId="9" fillId="4" borderId="7" xfId="20" applyNumberFormat="1" applyFont="1" applyFill="1" applyBorder="1" applyAlignment="1">
      <alignment vertical="top" wrapText="1"/>
    </xf>
    <xf numFmtId="187" fontId="9" fillId="4" borderId="7" xfId="20" applyNumberFormat="1" applyFont="1" applyFill="1" applyBorder="1" applyAlignment="1">
      <alignment horizontal="center" vertical="center" wrapText="1"/>
    </xf>
    <xf numFmtId="187" fontId="9" fillId="4" borderId="7" xfId="20" applyNumberFormat="1" applyFont="1" applyFill="1" applyBorder="1" applyAlignment="1">
      <alignment horizontal="center" vertical="top" wrapText="1" readingOrder="1"/>
    </xf>
    <xf numFmtId="187" fontId="9" fillId="4" borderId="7" xfId="20" applyNumberFormat="1" applyFont="1" applyFill="1" applyBorder="1" applyAlignment="1">
      <alignment vertical="top" textRotation="90" wrapText="1"/>
    </xf>
    <xf numFmtId="187" fontId="9" fillId="4" borderId="7" xfId="20" applyNumberFormat="1" applyFont="1" applyFill="1" applyBorder="1" applyAlignment="1">
      <alignment horizontal="left" vertical="top" wrapText="1"/>
    </xf>
    <xf numFmtId="187" fontId="9" fillId="4" borderId="16" xfId="20" applyNumberFormat="1" applyFont="1" applyFill="1" applyBorder="1" applyAlignment="1">
      <alignment horizontal="left" vertical="top" wrapText="1"/>
    </xf>
    <xf numFmtId="187" fontId="9" fillId="4" borderId="7" xfId="20" applyNumberFormat="1" applyFont="1" applyFill="1" applyBorder="1" applyAlignment="1">
      <alignment horizontal="center" vertical="top" wrapText="1"/>
    </xf>
    <xf numFmtId="187" fontId="9" fillId="4" borderId="0" xfId="20" applyNumberFormat="1" applyFont="1" applyFill="1" applyBorder="1" applyAlignment="1">
      <alignment vertical="top" textRotation="90" wrapText="1"/>
    </xf>
    <xf numFmtId="187" fontId="9" fillId="4" borderId="7" xfId="20" applyNumberFormat="1" applyFont="1" applyFill="1" applyBorder="1" applyAlignment="1">
      <alignment vertical="top"/>
    </xf>
    <xf numFmtId="187" fontId="9" fillId="4" borderId="14" xfId="20" applyNumberFormat="1" applyFont="1" applyFill="1" applyBorder="1" applyAlignment="1">
      <alignment vertical="top"/>
    </xf>
    <xf numFmtId="187" fontId="9" fillId="4" borderId="6" xfId="20" applyNumberFormat="1" applyFont="1" applyFill="1" applyBorder="1" applyAlignment="1">
      <alignment horizontal="left" vertical="top" wrapText="1"/>
    </xf>
    <xf numFmtId="187" fontId="9" fillId="4" borderId="8" xfId="20" applyNumberFormat="1" applyFont="1" applyFill="1" applyBorder="1" applyAlignment="1">
      <alignment horizontal="left" vertical="top" wrapText="1"/>
    </xf>
    <xf numFmtId="187" fontId="9" fillId="4" borderId="1" xfId="20" applyNumberFormat="1" applyFont="1" applyFill="1" applyBorder="1" applyAlignment="1">
      <alignment horizontal="center" vertical="top" wrapText="1"/>
    </xf>
    <xf numFmtId="187" fontId="9" fillId="4" borderId="1" xfId="20" applyNumberFormat="1" applyFont="1" applyFill="1" applyBorder="1" applyAlignment="1">
      <alignment horizontal="center" vertical="center" wrapText="1"/>
    </xf>
    <xf numFmtId="187" fontId="9" fillId="4" borderId="6" xfId="20" applyNumberFormat="1" applyFont="1" applyFill="1" applyBorder="1" applyAlignment="1">
      <alignment vertical="top" textRotation="90" wrapText="1"/>
    </xf>
    <xf numFmtId="187" fontId="9" fillId="4" borderId="6" xfId="20" applyNumberFormat="1" applyFont="1" applyFill="1" applyBorder="1" applyAlignment="1">
      <alignment vertical="top" wrapText="1"/>
    </xf>
    <xf numFmtId="187" fontId="9" fillId="4" borderId="2" xfId="20" applyNumberFormat="1" applyFont="1" applyFill="1" applyBorder="1" applyAlignment="1">
      <alignment vertical="top" textRotation="90" wrapText="1"/>
    </xf>
    <xf numFmtId="187" fontId="9" fillId="4" borderId="8" xfId="20" applyNumberFormat="1" applyFont="1" applyFill="1" applyBorder="1" applyAlignment="1">
      <alignment vertical="top" textRotation="90" wrapText="1"/>
    </xf>
    <xf numFmtId="187" fontId="11" fillId="4" borderId="6" xfId="20" applyNumberFormat="1" applyFont="1" applyFill="1" applyBorder="1" applyAlignment="1">
      <alignment horizontal="left" vertical="top" wrapText="1"/>
    </xf>
    <xf numFmtId="2" fontId="11" fillId="4" borderId="5" xfId="0" applyNumberFormat="1" applyFont="1" applyFill="1" applyBorder="1" applyAlignment="1">
      <alignment vertical="top" wrapText="1"/>
    </xf>
    <xf numFmtId="187" fontId="9" fillId="4" borderId="5" xfId="2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top" wrapText="1" readingOrder="1"/>
    </xf>
    <xf numFmtId="187" fontId="9" fillId="4" borderId="5" xfId="20" applyNumberFormat="1" applyFont="1" applyFill="1" applyBorder="1" applyAlignment="1">
      <alignment horizontal="center" vertical="top" wrapText="1" readingOrder="1"/>
    </xf>
    <xf numFmtId="2" fontId="9" fillId="4" borderId="7" xfId="0" applyNumberFormat="1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top" wrapText="1" readingOrder="1"/>
    </xf>
    <xf numFmtId="2" fontId="11" fillId="4" borderId="7" xfId="0" applyNumberFormat="1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2" fontId="9" fillId="4" borderId="1" xfId="0" applyNumberFormat="1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top" textRotation="90" wrapText="1"/>
    </xf>
    <xf numFmtId="0" fontId="9" fillId="4" borderId="6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left" vertical="top" wrapText="1"/>
    </xf>
    <xf numFmtId="187" fontId="9" fillId="4" borderId="5" xfId="20" applyNumberFormat="1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left" vertical="top" wrapText="1"/>
    </xf>
    <xf numFmtId="187" fontId="9" fillId="4" borderId="7" xfId="20" applyNumberFormat="1" applyFont="1" applyFill="1" applyBorder="1" applyAlignment="1">
      <alignment horizontal="center" vertical="top" textRotation="90" wrapText="1" readingOrder="1"/>
    </xf>
    <xf numFmtId="187" fontId="9" fillId="4" borderId="0" xfId="20" applyNumberFormat="1" applyFont="1" applyFill="1" applyBorder="1" applyAlignment="1">
      <alignment horizontal="center" vertical="top" textRotation="90" wrapText="1" readingOrder="1"/>
    </xf>
    <xf numFmtId="187" fontId="9" fillId="4" borderId="16" xfId="20" applyNumberFormat="1" applyFont="1" applyFill="1" applyBorder="1" applyAlignment="1">
      <alignment horizontal="center" vertical="top" textRotation="90" wrapText="1" readingOrder="1"/>
    </xf>
    <xf numFmtId="187" fontId="9" fillId="4" borderId="6" xfId="20" applyNumberFormat="1" applyFont="1" applyFill="1" applyBorder="1" applyAlignment="1">
      <alignment horizontal="center" vertical="top" wrapText="1"/>
    </xf>
    <xf numFmtId="187" fontId="9" fillId="4" borderId="6" xfId="20" applyNumberFormat="1" applyFont="1" applyFill="1" applyBorder="1" applyAlignment="1">
      <alignment horizontal="center" vertical="top" textRotation="90" wrapText="1" readingOrder="1"/>
    </xf>
    <xf numFmtId="187" fontId="9" fillId="4" borderId="2" xfId="20" applyNumberFormat="1" applyFont="1" applyFill="1" applyBorder="1" applyAlignment="1">
      <alignment horizontal="center" vertical="top" textRotation="90" wrapText="1" readingOrder="1"/>
    </xf>
    <xf numFmtId="187" fontId="9" fillId="4" borderId="8" xfId="20" applyNumberFormat="1" applyFont="1" applyFill="1" applyBorder="1" applyAlignment="1">
      <alignment horizontal="center" vertical="top" textRotation="90" wrapText="1" readingOrder="1"/>
    </xf>
    <xf numFmtId="0" fontId="9" fillId="4" borderId="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187" fontId="9" fillId="4" borderId="5" xfId="20" applyNumberFormat="1" applyFont="1" applyFill="1" applyBorder="1" applyAlignment="1">
      <alignment horizontal="left" vertical="top" wrapText="1"/>
    </xf>
    <xf numFmtId="187" fontId="9" fillId="4" borderId="5" xfId="20" applyNumberFormat="1" applyFont="1" applyFill="1" applyBorder="1" applyAlignment="1">
      <alignment vertical="top"/>
    </xf>
    <xf numFmtId="187" fontId="9" fillId="4" borderId="5" xfId="20" applyNumberFormat="1" applyFont="1" applyFill="1" applyBorder="1" applyAlignment="1">
      <alignment horizontal="center" vertical="top" textRotation="90" wrapText="1" readingOrder="1"/>
    </xf>
    <xf numFmtId="187" fontId="9" fillId="4" borderId="4" xfId="20" applyNumberFormat="1" applyFont="1" applyFill="1" applyBorder="1" applyAlignment="1">
      <alignment horizontal="center" vertical="top" textRotation="90" wrapText="1" readingOrder="1"/>
    </xf>
    <xf numFmtId="187" fontId="9" fillId="4" borderId="15" xfId="20" applyNumberFormat="1" applyFont="1" applyFill="1" applyBorder="1" applyAlignment="1">
      <alignment horizontal="center" vertical="top" textRotation="90" wrapText="1" readingOrder="1"/>
    </xf>
    <xf numFmtId="0" fontId="9" fillId="4" borderId="7" xfId="0" applyFont="1" applyFill="1" applyBorder="1" applyAlignment="1">
      <alignment vertical="top" wrapText="1"/>
    </xf>
    <xf numFmtId="0" fontId="9" fillId="4" borderId="16" xfId="0" applyFont="1" applyFill="1" applyBorder="1" applyAlignment="1">
      <alignment horizontal="left" vertical="top" wrapText="1"/>
    </xf>
    <xf numFmtId="187" fontId="11" fillId="4" borderId="5" xfId="20" applyNumberFormat="1" applyFont="1" applyFill="1" applyBorder="1" applyAlignment="1">
      <alignment horizontal="center" vertical="center" wrapText="1"/>
    </xf>
    <xf numFmtId="187" fontId="11" fillId="4" borderId="7" xfId="20" applyNumberFormat="1" applyFont="1" applyFill="1" applyBorder="1" applyAlignment="1">
      <alignment horizontal="center" vertical="center" wrapText="1"/>
    </xf>
    <xf numFmtId="2" fontId="12" fillId="4" borderId="7" xfId="0" applyNumberFormat="1" applyFont="1" applyFill="1" applyBorder="1" applyAlignment="1">
      <alignment vertical="top" wrapText="1"/>
    </xf>
    <xf numFmtId="2" fontId="9" fillId="4" borderId="5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vertical="top" textRotation="90" wrapText="1"/>
    </xf>
    <xf numFmtId="187" fontId="9" fillId="4" borderId="16" xfId="20" applyNumberFormat="1" applyFont="1" applyFill="1" applyBorder="1" applyAlignment="1">
      <alignment vertical="top" textRotation="90" wrapText="1"/>
    </xf>
    <xf numFmtId="0" fontId="11" fillId="4" borderId="7" xfId="0" applyFont="1" applyFill="1" applyBorder="1" applyAlignment="1">
      <alignment horizontal="left" vertical="top" wrapText="1"/>
    </xf>
    <xf numFmtId="2" fontId="9" fillId="4" borderId="5" xfId="0" applyNumberFormat="1" applyFont="1" applyFill="1" applyBorder="1" applyAlignment="1">
      <alignment vertical="top" wrapText="1"/>
    </xf>
    <xf numFmtId="187" fontId="9" fillId="4" borderId="5" xfId="20" applyNumberFormat="1" applyFont="1" applyFill="1" applyBorder="1" applyAlignment="1">
      <alignment vertical="top" textRotation="90" wrapText="1"/>
    </xf>
    <xf numFmtId="0" fontId="11" fillId="4" borderId="1" xfId="0" applyFont="1" applyFill="1" applyBorder="1" applyAlignment="1">
      <alignment horizontal="center" vertical="top" wrapText="1"/>
    </xf>
    <xf numFmtId="187" fontId="9" fillId="4" borderId="1" xfId="20" applyNumberFormat="1" applyFont="1" applyFill="1" applyBorder="1" applyAlignment="1">
      <alignment horizontal="right"/>
    </xf>
    <xf numFmtId="187" fontId="9" fillId="4" borderId="6" xfId="20" applyNumberFormat="1" applyFont="1" applyFill="1" applyBorder="1"/>
    <xf numFmtId="187" fontId="9" fillId="4" borderId="5" xfId="20" applyNumberFormat="1" applyFont="1" applyFill="1" applyBorder="1" applyAlignment="1">
      <alignment horizontal="center" vertical="top" textRotation="90" readingOrder="1"/>
    </xf>
    <xf numFmtId="187" fontId="7" fillId="4" borderId="7" xfId="20" applyNumberFormat="1" applyFont="1" applyFill="1" applyBorder="1" applyAlignment="1">
      <alignment vertical="top" wrapText="1"/>
    </xf>
    <xf numFmtId="0" fontId="9" fillId="4" borderId="7" xfId="20" applyNumberFormat="1" applyFont="1" applyFill="1" applyBorder="1" applyAlignment="1">
      <alignment horizontal="center" vertical="top" wrapText="1"/>
    </xf>
    <xf numFmtId="187" fontId="9" fillId="4" borderId="7" xfId="20" applyNumberFormat="1" applyFont="1" applyFill="1" applyBorder="1" applyAlignment="1">
      <alignment horizontal="right"/>
    </xf>
    <xf numFmtId="187" fontId="30" fillId="0" borderId="0" xfId="20" applyNumberFormat="1" applyFont="1" applyFill="1" applyAlignment="1">
      <alignment horizontal="center" vertical="center"/>
    </xf>
    <xf numFmtId="187" fontId="44" fillId="0" borderId="0" xfId="20" applyNumberFormat="1" applyFont="1" applyFill="1" applyAlignment="1">
      <alignment horizontal="center"/>
    </xf>
    <xf numFmtId="187" fontId="44" fillId="0" borderId="0" xfId="20" applyNumberFormat="1" applyFont="1" applyFill="1" applyAlignment="1">
      <alignment horizontal="center" vertical="center" wrapText="1"/>
    </xf>
    <xf numFmtId="0" fontId="47" fillId="12" borderId="1" xfId="0" applyFont="1" applyFill="1" applyBorder="1" applyAlignment="1">
      <alignment horizontal="center" vertical="top" wrapText="1" readingOrder="1"/>
    </xf>
    <xf numFmtId="0" fontId="48" fillId="3" borderId="5" xfId="0" applyFont="1" applyFill="1" applyBorder="1" applyAlignment="1">
      <alignment horizontal="left" vertical="top" wrapText="1" readingOrder="1"/>
    </xf>
    <xf numFmtId="0" fontId="48" fillId="3" borderId="7" xfId="0" applyFont="1" applyFill="1" applyBorder="1" applyAlignment="1">
      <alignment horizontal="left" vertical="top" wrapText="1" readingOrder="1"/>
    </xf>
    <xf numFmtId="0" fontId="48" fillId="3" borderId="1" xfId="0" applyFont="1" applyFill="1" applyBorder="1" applyAlignment="1">
      <alignment horizontal="center" vertical="top" wrapText="1" readingOrder="1"/>
    </xf>
    <xf numFmtId="0" fontId="30" fillId="3" borderId="1" xfId="0" applyFont="1" applyFill="1" applyBorder="1"/>
    <xf numFmtId="0" fontId="48" fillId="3" borderId="1" xfId="0" applyFont="1" applyFill="1" applyBorder="1" applyAlignment="1">
      <alignment horizontal="left" vertical="center" wrapText="1" readingOrder="1"/>
    </xf>
    <xf numFmtId="0" fontId="48" fillId="3" borderId="5" xfId="0" applyFont="1" applyFill="1" applyBorder="1" applyAlignment="1">
      <alignment horizontal="center" vertical="center" wrapText="1" readingOrder="1"/>
    </xf>
    <xf numFmtId="0" fontId="11" fillId="7" borderId="1" xfId="0" applyFont="1" applyFill="1" applyBorder="1" applyAlignment="1">
      <alignment horizontal="center" vertical="top" wrapText="1" readingOrder="1"/>
    </xf>
    <xf numFmtId="0" fontId="30" fillId="0" borderId="1" xfId="0" applyFont="1" applyBorder="1" applyAlignment="1">
      <alignment horizontal="left" vertical="top" wrapText="1"/>
    </xf>
    <xf numFmtId="0" fontId="30" fillId="0" borderId="6" xfId="0" applyFont="1" applyBorder="1" applyAlignment="1">
      <alignment vertical="top" wrapText="1"/>
    </xf>
    <xf numFmtId="0" fontId="11" fillId="7" borderId="1" xfId="0" applyFont="1" applyFill="1" applyBorder="1" applyAlignment="1">
      <alignment horizontal="center" vertical="top" wrapText="1"/>
    </xf>
    <xf numFmtId="187" fontId="11" fillId="7" borderId="1" xfId="2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top" wrapText="1"/>
    </xf>
    <xf numFmtId="187" fontId="11" fillId="0" borderId="0" xfId="20" applyNumberFormat="1" applyFont="1" applyBorder="1" applyAlignment="1">
      <alignment horizontal="center" vertical="top" textRotation="90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top" wrapText="1" readingOrder="1"/>
    </xf>
    <xf numFmtId="43" fontId="30" fillId="0" borderId="6" xfId="0" applyNumberFormat="1" applyFont="1" applyBorder="1"/>
    <xf numFmtId="43" fontId="11" fillId="7" borderId="1" xfId="20" applyFont="1" applyFill="1" applyBorder="1" applyAlignment="1">
      <alignment horizontal="center" vertical="top" textRotation="90" wrapText="1"/>
    </xf>
    <xf numFmtId="187" fontId="11" fillId="7" borderId="1" xfId="20" applyNumberFormat="1" applyFont="1" applyFill="1" applyBorder="1" applyAlignment="1">
      <alignment vertical="center" wrapText="1" readingOrder="1"/>
    </xf>
    <xf numFmtId="0" fontId="30" fillId="0" borderId="5" xfId="0" applyFont="1" applyBorder="1" applyAlignment="1">
      <alignment vertical="top" wrapText="1"/>
    </xf>
    <xf numFmtId="0" fontId="30" fillId="7" borderId="1" xfId="0" applyFont="1" applyFill="1" applyBorder="1"/>
    <xf numFmtId="0" fontId="2" fillId="0" borderId="0" xfId="0" applyFont="1" applyBorder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indent="1"/>
    </xf>
    <xf numFmtId="0" fontId="9" fillId="9" borderId="1" xfId="0" applyFont="1" applyFill="1" applyBorder="1" applyAlignment="1">
      <alignment horizontal="left" vertical="top" wrapText="1"/>
    </xf>
    <xf numFmtId="0" fontId="9" fillId="0" borderId="1" xfId="0" applyFont="1" applyBorder="1" applyAlignment="1"/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7" fontId="9" fillId="0" borderId="1" xfId="0" applyNumberFormat="1" applyFont="1" applyFill="1" applyBorder="1" applyAlignment="1">
      <alignment horizontal="center" vertical="top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top"/>
    </xf>
    <xf numFmtId="3" fontId="11" fillId="7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9" borderId="1" xfId="20" applyNumberFormat="1" applyFont="1" applyFill="1" applyBorder="1" applyAlignment="1">
      <alignment vertical="top" wrapText="1" readingOrder="1"/>
    </xf>
    <xf numFmtId="3" fontId="11" fillId="7" borderId="1" xfId="20" applyNumberFormat="1" applyFont="1" applyFill="1" applyBorder="1" applyAlignment="1">
      <alignment horizontal="center" vertical="center" wrapText="1" readingOrder="1"/>
    </xf>
    <xf numFmtId="0" fontId="9" fillId="7" borderId="1" xfId="0" applyFont="1" applyFill="1" applyBorder="1" applyAlignment="1">
      <alignment horizontal="left" vertical="top" wrapText="1"/>
    </xf>
    <xf numFmtId="3" fontId="11" fillId="0" borderId="1" xfId="20" applyNumberFormat="1" applyFont="1" applyFill="1" applyBorder="1" applyAlignment="1">
      <alignment horizontal="center" vertical="center" wrapText="1" readingOrder="1"/>
    </xf>
    <xf numFmtId="3" fontId="11" fillId="7" borderId="1" xfId="20" applyNumberFormat="1" applyFont="1" applyFill="1" applyBorder="1" applyAlignment="1">
      <alignment horizontal="center" vertical="top" wrapText="1" readingOrder="1"/>
    </xf>
    <xf numFmtId="3" fontId="11" fillId="0" borderId="1" xfId="20" applyNumberFormat="1" applyFont="1" applyFill="1" applyBorder="1" applyAlignment="1">
      <alignment horizontal="center" vertical="top" wrapText="1" readingOrder="1"/>
    </xf>
    <xf numFmtId="187" fontId="11" fillId="7" borderId="1" xfId="20" applyNumberFormat="1" applyFont="1" applyFill="1" applyBorder="1" applyAlignment="1">
      <alignment horizontal="center" vertical="top" wrapText="1" readingOrder="1"/>
    </xf>
    <xf numFmtId="0" fontId="9" fillId="7" borderId="1" xfId="0" applyFont="1" applyFill="1" applyBorder="1" applyAlignment="1"/>
    <xf numFmtId="187" fontId="9" fillId="7" borderId="1" xfId="0" applyNumberFormat="1" applyFont="1" applyFill="1" applyBorder="1"/>
    <xf numFmtId="0" fontId="11" fillId="0" borderId="0" xfId="0" applyFont="1" applyFill="1" applyBorder="1" applyAlignment="1">
      <alignment horizontal="center" vertical="center" wrapText="1" readingOrder="1"/>
    </xf>
    <xf numFmtId="3" fontId="11" fillId="0" borderId="0" xfId="20" applyNumberFormat="1" applyFont="1" applyFill="1" applyBorder="1" applyAlignment="1">
      <alignment vertical="center" wrapText="1" readingOrder="1"/>
    </xf>
    <xf numFmtId="0" fontId="11" fillId="0" borderId="0" xfId="0" applyFont="1" applyBorder="1"/>
    <xf numFmtId="43" fontId="11" fillId="0" borderId="0" xfId="20" applyFont="1" applyBorder="1" applyAlignment="1">
      <alignment horizontal="center" vertical="top" textRotation="90" wrapText="1"/>
    </xf>
    <xf numFmtId="187" fontId="11" fillId="0" borderId="0" xfId="20" applyNumberFormat="1" applyFont="1" applyFill="1" applyBorder="1" applyAlignment="1">
      <alignment horizontal="center" vertical="top" textRotation="90" wrapText="1"/>
    </xf>
    <xf numFmtId="187" fontId="9" fillId="0" borderId="0" xfId="0" applyNumberFormat="1" applyFont="1"/>
    <xf numFmtId="0" fontId="9" fillId="0" borderId="1" xfId="0" applyFont="1" applyFill="1" applyBorder="1"/>
    <xf numFmtId="0" fontId="9" fillId="7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187" fontId="2" fillId="0" borderId="0" xfId="20" applyNumberFormat="1" applyFont="1" applyFill="1"/>
    <xf numFmtId="187" fontId="11" fillId="0" borderId="0" xfId="20" applyNumberFormat="1" applyFont="1" applyBorder="1" applyAlignment="1">
      <alignment vertical="top" textRotation="90"/>
    </xf>
    <xf numFmtId="187" fontId="9" fillId="0" borderId="0" xfId="20" applyNumberFormat="1" applyFont="1" applyFill="1"/>
    <xf numFmtId="187" fontId="9" fillId="0" borderId="1" xfId="20" applyNumberFormat="1" applyFont="1" applyFill="1" applyBorder="1" applyAlignment="1">
      <alignment horizontal="center" vertical="center"/>
    </xf>
    <xf numFmtId="187" fontId="9" fillId="0" borderId="1" xfId="20" applyNumberFormat="1" applyFont="1" applyFill="1" applyBorder="1" applyAlignment="1">
      <alignment horizontal="center" vertical="center" textRotation="90"/>
    </xf>
    <xf numFmtId="187" fontId="9" fillId="0" borderId="1" xfId="20" applyNumberFormat="1" applyFont="1" applyBorder="1" applyAlignment="1"/>
    <xf numFmtId="187" fontId="9" fillId="0" borderId="1" xfId="20" applyNumberFormat="1" applyFont="1" applyFill="1" applyBorder="1" applyAlignment="1">
      <alignment vertical="center" textRotation="90"/>
    </xf>
    <xf numFmtId="187" fontId="9" fillId="0" borderId="1" xfId="20" applyNumberFormat="1" applyFont="1" applyFill="1" applyBorder="1" applyAlignment="1">
      <alignment horizontal="center" vertical="top" textRotation="90"/>
    </xf>
    <xf numFmtId="187" fontId="11" fillId="7" borderId="1" xfId="20" applyNumberFormat="1" applyFont="1" applyFill="1" applyBorder="1" applyAlignment="1">
      <alignment horizontal="center" vertical="center" textRotation="90"/>
    </xf>
    <xf numFmtId="187" fontId="9" fillId="7" borderId="1" xfId="20" applyNumberFormat="1" applyFont="1" applyFill="1" applyBorder="1" applyAlignment="1">
      <alignment horizontal="center" vertical="center" textRotation="90"/>
    </xf>
    <xf numFmtId="187" fontId="9" fillId="7" borderId="1" xfId="20" applyNumberFormat="1" applyFont="1" applyFill="1" applyBorder="1" applyAlignment="1">
      <alignment horizontal="center" vertical="top" textRotation="90"/>
    </xf>
    <xf numFmtId="187" fontId="11" fillId="7" borderId="1" xfId="20" applyNumberFormat="1" applyFont="1" applyFill="1" applyBorder="1" applyAlignment="1">
      <alignment horizontal="center" vertical="top" textRotation="90"/>
    </xf>
    <xf numFmtId="0" fontId="11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top" wrapText="1"/>
    </xf>
    <xf numFmtId="187" fontId="9" fillId="7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left" vertical="top"/>
    </xf>
    <xf numFmtId="3" fontId="9" fillId="0" borderId="1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horizontal="right" vertical="center" wrapText="1"/>
    </xf>
    <xf numFmtId="3" fontId="11" fillId="7" borderId="1" xfId="0" applyNumberFormat="1" applyFont="1" applyFill="1" applyBorder="1" applyAlignment="1">
      <alignment horizontal="right" vertical="center" wrapText="1"/>
    </xf>
    <xf numFmtId="3" fontId="9" fillId="7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187" fontId="11" fillId="7" borderId="1" xfId="20" applyNumberFormat="1" applyFont="1" applyFill="1" applyBorder="1" applyAlignment="1">
      <alignment horizontal="center" vertical="center" wrapText="1" readingOrder="1"/>
    </xf>
    <xf numFmtId="187" fontId="9" fillId="0" borderId="1" xfId="20" applyNumberFormat="1" applyFont="1" applyFill="1" applyBorder="1" applyAlignment="1">
      <alignment vertical="top" textRotation="90"/>
    </xf>
    <xf numFmtId="187" fontId="9" fillId="0" borderId="1" xfId="20" applyNumberFormat="1" applyFont="1" applyFill="1" applyBorder="1" applyAlignment="1">
      <alignment horizontal="left" vertical="top" textRotation="90"/>
    </xf>
    <xf numFmtId="0" fontId="11" fillId="0" borderId="1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left" vertical="top" readingOrder="1"/>
    </xf>
    <xf numFmtId="187" fontId="11" fillId="0" borderId="1" xfId="20" applyNumberFormat="1" applyFont="1" applyFill="1" applyBorder="1" applyAlignment="1">
      <alignment horizontal="center" vertical="top" wrapText="1" readingOrder="1"/>
    </xf>
    <xf numFmtId="187" fontId="9" fillId="0" borderId="1" xfId="20" applyNumberFormat="1" applyFont="1" applyFill="1" applyBorder="1" applyAlignment="1">
      <alignment horizontal="center" vertical="top" wrapText="1" readingOrder="1"/>
    </xf>
    <xf numFmtId="0" fontId="22" fillId="0" borderId="0" xfId="0" applyFont="1" applyFill="1" applyAlignment="1">
      <alignment vertical="center"/>
    </xf>
    <xf numFmtId="0" fontId="22" fillId="0" borderId="0" xfId="0" applyFont="1"/>
    <xf numFmtId="3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textRotation="90" wrapText="1"/>
    </xf>
    <xf numFmtId="0" fontId="2" fillId="0" borderId="0" xfId="0" applyFont="1" applyFill="1"/>
    <xf numFmtId="0" fontId="22" fillId="0" borderId="1" xfId="0" applyFont="1" applyFill="1" applyBorder="1"/>
    <xf numFmtId="0" fontId="36" fillId="0" borderId="0" xfId="0" applyFont="1"/>
    <xf numFmtId="0" fontId="65" fillId="0" borderId="0" xfId="0" applyFont="1" applyFill="1" applyAlignment="1">
      <alignment vertical="center"/>
    </xf>
    <xf numFmtId="0" fontId="6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4" fontId="18" fillId="7" borderId="6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0" fontId="39" fillId="18" borderId="1" xfId="0" applyFont="1" applyFill="1" applyBorder="1" applyAlignment="1">
      <alignment horizontal="center" vertical="center" wrapText="1"/>
    </xf>
    <xf numFmtId="0" fontId="36" fillId="0" borderId="2" xfId="0" applyFont="1" applyBorder="1"/>
    <xf numFmtId="0" fontId="18" fillId="7" borderId="6" xfId="0" applyFont="1" applyFill="1" applyBorder="1" applyAlignment="1">
      <alignment wrapText="1"/>
    </xf>
    <xf numFmtId="43" fontId="22" fillId="0" borderId="0" xfId="20" applyFont="1"/>
    <xf numFmtId="43" fontId="22" fillId="16" borderId="0" xfId="20" applyFont="1" applyFill="1"/>
    <xf numFmtId="0" fontId="22" fillId="0" borderId="0" xfId="0" applyFont="1" applyAlignment="1">
      <alignment textRotation="90"/>
    </xf>
    <xf numFmtId="0" fontId="23" fillId="0" borderId="0" xfId="0" applyFont="1"/>
    <xf numFmtId="0" fontId="66" fillId="0" borderId="1" xfId="0" applyFont="1" applyFill="1" applyBorder="1" applyAlignment="1">
      <alignment horizontal="center" vertical="center" wrapText="1"/>
    </xf>
    <xf numFmtId="3" fontId="66" fillId="0" borderId="1" xfId="0" applyNumberFormat="1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vertical="top"/>
    </xf>
    <xf numFmtId="4" fontId="22" fillId="0" borderId="1" xfId="0" applyNumberFormat="1" applyFont="1" applyFill="1" applyBorder="1"/>
    <xf numFmtId="4" fontId="22" fillId="0" borderId="1" xfId="20" applyNumberFormat="1" applyFont="1" applyFill="1" applyBorder="1"/>
    <xf numFmtId="4" fontId="23" fillId="17" borderId="1" xfId="20" applyNumberFormat="1" applyFont="1" applyFill="1" applyBorder="1" applyAlignment="1">
      <alignment horizontal="center"/>
    </xf>
    <xf numFmtId="0" fontId="23" fillId="17" borderId="1" xfId="0" applyFont="1" applyFill="1" applyBorder="1" applyAlignment="1">
      <alignment horizontal="center"/>
    </xf>
    <xf numFmtId="4" fontId="22" fillId="0" borderId="5" xfId="0" applyNumberFormat="1" applyFont="1" applyFill="1" applyBorder="1" applyAlignment="1">
      <alignment horizontal="center" vertical="top" textRotation="90" wrapText="1"/>
    </xf>
    <xf numFmtId="0" fontId="22" fillId="0" borderId="5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3" fontId="67" fillId="0" borderId="1" xfId="0" applyNumberFormat="1" applyFont="1" applyFill="1" applyBorder="1" applyAlignment="1">
      <alignment horizontal="center" vertical="center" wrapText="1"/>
    </xf>
    <xf numFmtId="3" fontId="67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vertical="top" wrapText="1" readingOrder="1"/>
    </xf>
    <xf numFmtId="4" fontId="22" fillId="0" borderId="6" xfId="129" applyNumberFormat="1" applyFont="1" applyFill="1" applyBorder="1" applyAlignment="1">
      <alignment horizontal="right" vertical="top" wrapText="1"/>
    </xf>
    <xf numFmtId="4" fontId="22" fillId="0" borderId="14" xfId="129" applyNumberFormat="1" applyFont="1" applyFill="1" applyBorder="1" applyAlignment="1">
      <alignment horizontal="center" vertical="center" textRotation="90"/>
    </xf>
    <xf numFmtId="4" fontId="22" fillId="0" borderId="16" xfId="129" applyNumberFormat="1" applyFont="1" applyFill="1" applyBorder="1" applyAlignment="1">
      <alignment horizontal="center" vertical="center" textRotation="90"/>
    </xf>
    <xf numFmtId="4" fontId="22" fillId="0" borderId="7" xfId="129" applyNumberFormat="1" applyFont="1" applyFill="1" applyBorder="1" applyAlignment="1">
      <alignment horizontal="center" vertical="center" textRotation="90"/>
    </xf>
    <xf numFmtId="0" fontId="22" fillId="0" borderId="5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vertical="top" wrapText="1"/>
    </xf>
    <xf numFmtId="4" fontId="22" fillId="0" borderId="1" xfId="129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vertical="top" wrapText="1" readingOrder="1"/>
    </xf>
    <xf numFmtId="4" fontId="22" fillId="0" borderId="9" xfId="129" applyNumberFormat="1" applyFont="1" applyFill="1" applyBorder="1" applyAlignment="1">
      <alignment horizontal="right" vertical="top" wrapText="1"/>
    </xf>
    <xf numFmtId="0" fontId="23" fillId="7" borderId="1" xfId="0" applyFont="1" applyFill="1" applyBorder="1" applyAlignment="1">
      <alignment horizontal="center" vertical="center" wrapText="1"/>
    </xf>
    <xf numFmtId="4" fontId="23" fillId="7" borderId="1" xfId="129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textRotation="90"/>
    </xf>
    <xf numFmtId="4" fontId="22" fillId="0" borderId="1" xfId="0" applyNumberFormat="1" applyFont="1" applyFill="1" applyBorder="1" applyAlignment="1">
      <alignment horizontal="center" vertical="center" textRotation="91"/>
    </xf>
    <xf numFmtId="4" fontId="22" fillId="0" borderId="1" xfId="129" applyNumberFormat="1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horizontal="center" vertical="center" textRotation="90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" xfId="129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67" fillId="0" borderId="1" xfId="0" applyNumberFormat="1" applyFont="1" applyFill="1" applyBorder="1" applyAlignment="1">
      <alignment horizontal="center" vertical="center" wrapText="1"/>
    </xf>
    <xf numFmtId="4" fontId="67" fillId="0" borderId="5" xfId="0" applyNumberFormat="1" applyFont="1" applyFill="1" applyBorder="1" applyAlignment="1">
      <alignment horizontal="center" vertical="center" wrapText="1"/>
    </xf>
    <xf numFmtId="4" fontId="22" fillId="0" borderId="6" xfId="129" applyNumberFormat="1" applyFont="1" applyFill="1" applyBorder="1" applyAlignment="1">
      <alignment horizontal="right" vertical="top"/>
    </xf>
    <xf numFmtId="4" fontId="22" fillId="0" borderId="5" xfId="0" applyNumberFormat="1" applyFont="1" applyFill="1" applyBorder="1" applyAlignment="1">
      <alignment horizontal="center" vertical="top" textRotation="90"/>
    </xf>
    <xf numFmtId="4" fontId="19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top" textRotation="90" wrapText="1"/>
    </xf>
    <xf numFmtId="0" fontId="45" fillId="2" borderId="1" xfId="0" applyFont="1" applyFill="1" applyBorder="1" applyAlignment="1">
      <alignment horizontal="center" vertical="center" textRotation="90" wrapText="1"/>
    </xf>
    <xf numFmtId="4" fontId="23" fillId="19" borderId="23" xfId="0" applyNumberFormat="1" applyFont="1" applyFill="1" applyBorder="1" applyAlignment="1">
      <alignment horizontal="center" vertical="top" wrapText="1"/>
    </xf>
    <xf numFmtId="4" fontId="23" fillId="19" borderId="6" xfId="129" applyNumberFormat="1" applyFont="1" applyFill="1" applyBorder="1" applyAlignment="1">
      <alignment horizontal="right" vertical="top"/>
    </xf>
    <xf numFmtId="4" fontId="22" fillId="0" borderId="5" xfId="0" applyNumberFormat="1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vertical="top" textRotation="90" wrapText="1"/>
    </xf>
    <xf numFmtId="4" fontId="22" fillId="0" borderId="9" xfId="0" applyNumberFormat="1" applyFont="1" applyFill="1" applyBorder="1" applyAlignment="1">
      <alignment vertical="top" wrapText="1" readingOrder="1"/>
    </xf>
    <xf numFmtId="4" fontId="22" fillId="0" borderId="1" xfId="129" applyNumberFormat="1" applyFont="1" applyFill="1" applyBorder="1" applyAlignment="1">
      <alignment horizontal="right" vertical="top"/>
    </xf>
    <xf numFmtId="4" fontId="22" fillId="0" borderId="22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 readingOrder="1"/>
    </xf>
    <xf numFmtId="4" fontId="22" fillId="0" borderId="6" xfId="0" applyNumberFormat="1" applyFont="1" applyFill="1" applyBorder="1" applyAlignment="1">
      <alignment vertical="top" wrapText="1"/>
    </xf>
    <xf numFmtId="4" fontId="22" fillId="0" borderId="1" xfId="129" applyNumberFormat="1" applyFont="1" applyFill="1" applyBorder="1" applyAlignment="1">
      <alignment horizontal="right" vertical="top" wrapText="1" readingOrder="1"/>
    </xf>
    <xf numFmtId="4" fontId="22" fillId="0" borderId="23" xfId="0" applyNumberFormat="1" applyFont="1" applyFill="1" applyBorder="1" applyAlignment="1">
      <alignment vertical="top" wrapText="1"/>
    </xf>
    <xf numFmtId="4" fontId="22" fillId="0" borderId="6" xfId="129" applyNumberFormat="1" applyFont="1" applyFill="1" applyBorder="1" applyAlignment="1">
      <alignment horizontal="right" vertical="top" wrapText="1" readingOrder="1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0" fontId="23" fillId="19" borderId="23" xfId="0" applyFont="1" applyFill="1" applyBorder="1" applyAlignment="1">
      <alignment horizontal="center" vertical="top" wrapText="1"/>
    </xf>
    <xf numFmtId="4" fontId="22" fillId="0" borderId="5" xfId="0" applyNumberFormat="1" applyFont="1" applyFill="1" applyBorder="1" applyAlignment="1">
      <alignment horizontal="center" vertical="center" wrapText="1"/>
    </xf>
    <xf numFmtId="4" fontId="22" fillId="0" borderId="1" xfId="129" applyNumberFormat="1" applyFont="1" applyFill="1" applyBorder="1" applyAlignment="1">
      <alignment horizontal="center" vertical="top" textRotation="90"/>
    </xf>
    <xf numFmtId="4" fontId="22" fillId="0" borderId="1" xfId="0" applyNumberFormat="1" applyFont="1" applyFill="1" applyBorder="1" applyAlignment="1">
      <alignment horizontal="center" vertical="center" textRotation="90"/>
    </xf>
    <xf numFmtId="187" fontId="0" fillId="0" borderId="0" xfId="129" applyNumberFormat="1" applyFont="1"/>
    <xf numFmtId="4" fontId="66" fillId="0" borderId="1" xfId="0" applyNumberFormat="1" applyFont="1" applyFill="1" applyBorder="1" applyAlignment="1">
      <alignment horizontal="center" vertical="center" wrapText="1"/>
    </xf>
    <xf numFmtId="4" fontId="66" fillId="0" borderId="1" xfId="0" applyNumberFormat="1" applyFont="1" applyFill="1" applyBorder="1" applyAlignment="1">
      <alignment horizontal="center" vertical="center"/>
    </xf>
    <xf numFmtId="4" fontId="66" fillId="0" borderId="1" xfId="0" applyNumberFormat="1" applyFont="1" applyFill="1" applyBorder="1" applyAlignment="1">
      <alignment horizontal="center" vertical="top" wrapText="1"/>
    </xf>
    <xf numFmtId="4" fontId="23" fillId="0" borderId="21" xfId="102" applyNumberFormat="1" applyFont="1" applyFill="1" applyBorder="1" applyAlignment="1">
      <alignment vertical="top" wrapText="1"/>
    </xf>
    <xf numFmtId="4" fontId="23" fillId="0" borderId="9" xfId="102" applyNumberFormat="1" applyFont="1" applyFill="1" applyBorder="1" applyAlignment="1">
      <alignment vertical="top" wrapText="1"/>
    </xf>
    <xf numFmtId="0" fontId="22" fillId="0" borderId="0" xfId="102" applyFont="1"/>
    <xf numFmtId="0" fontId="65" fillId="0" borderId="0" xfId="0" applyFont="1"/>
    <xf numFmtId="4" fontId="22" fillId="0" borderId="1" xfId="102" applyNumberFormat="1" applyFont="1" applyBorder="1" applyAlignment="1">
      <alignment horizontal="left" vertical="top" wrapText="1"/>
    </xf>
    <xf numFmtId="4" fontId="22" fillId="0" borderId="1" xfId="102" applyNumberFormat="1" applyFont="1" applyBorder="1" applyAlignment="1">
      <alignment horizontal="right" vertical="top" wrapText="1"/>
    </xf>
    <xf numFmtId="4" fontId="22" fillId="0" borderId="1" xfId="102" applyNumberFormat="1" applyFont="1" applyBorder="1" applyAlignment="1">
      <alignment horizontal="right" vertical="top"/>
    </xf>
    <xf numFmtId="4" fontId="23" fillId="17" borderId="1" xfId="102" applyNumberFormat="1" applyFont="1" applyFill="1" applyBorder="1" applyAlignment="1">
      <alignment horizontal="center" vertical="top" wrapText="1"/>
    </xf>
    <xf numFmtId="4" fontId="23" fillId="17" borderId="1" xfId="102" applyNumberFormat="1" applyFont="1" applyFill="1" applyBorder="1" applyAlignment="1">
      <alignment horizontal="right" vertical="top" wrapText="1"/>
    </xf>
    <xf numFmtId="4" fontId="22" fillId="0" borderId="6" xfId="102" applyNumberFormat="1" applyFont="1" applyBorder="1" applyAlignment="1">
      <alignment horizontal="center" vertical="top" wrapText="1"/>
    </xf>
    <xf numFmtId="4" fontId="22" fillId="0" borderId="6" xfId="102" applyNumberFormat="1" applyFont="1" applyBorder="1" applyAlignment="1">
      <alignment vertical="top" wrapText="1"/>
    </xf>
    <xf numFmtId="4" fontId="22" fillId="0" borderId="6" xfId="102" applyNumberFormat="1" applyFont="1" applyBorder="1" applyAlignment="1">
      <alignment vertical="top" textRotation="90" wrapText="1"/>
    </xf>
    <xf numFmtId="4" fontId="22" fillId="0" borderId="7" xfId="102" applyNumberFormat="1" applyFont="1" applyBorder="1" applyAlignment="1">
      <alignment horizontal="center" vertical="top" textRotation="90" wrapText="1"/>
    </xf>
    <xf numFmtId="4" fontId="22" fillId="0" borderId="7" xfId="129" applyNumberFormat="1" applyFont="1" applyBorder="1" applyAlignment="1">
      <alignment horizontal="center" vertical="top" textRotation="90" wrapText="1"/>
    </xf>
    <xf numFmtId="4" fontId="22" fillId="0" borderId="7" xfId="102" applyNumberFormat="1" applyFont="1" applyBorder="1" applyAlignment="1">
      <alignment vertical="top" textRotation="90" wrapText="1"/>
    </xf>
    <xf numFmtId="4" fontId="22" fillId="0" borderId="5" xfId="129" applyNumberFormat="1" applyFont="1" applyBorder="1" applyAlignment="1">
      <alignment horizontal="center" vertical="top" textRotation="90" wrapText="1"/>
    </xf>
    <xf numFmtId="4" fontId="22" fillId="0" borderId="1" xfId="102" applyNumberFormat="1" applyFont="1" applyBorder="1" applyAlignment="1">
      <alignment vertical="top" wrapText="1"/>
    </xf>
    <xf numFmtId="4" fontId="22" fillId="0" borderId="4" xfId="102" applyNumberFormat="1" applyFont="1" applyBorder="1" applyAlignment="1">
      <alignment horizontal="right" vertical="top" wrapText="1"/>
    </xf>
    <xf numFmtId="4" fontId="22" fillId="0" borderId="22" xfId="102" applyNumberFormat="1" applyFont="1" applyBorder="1" applyAlignment="1">
      <alignment vertical="top" textRotation="90" wrapText="1"/>
    </xf>
    <xf numFmtId="4" fontId="23" fillId="17" borderId="1" xfId="102" applyNumberFormat="1" applyFont="1" applyFill="1" applyBorder="1" applyAlignment="1">
      <alignment horizontal="center" vertical="center"/>
    </xf>
    <xf numFmtId="4" fontId="23" fillId="17" borderId="1" xfId="102" applyNumberFormat="1" applyFont="1" applyFill="1" applyBorder="1" applyAlignment="1">
      <alignment horizontal="right" vertical="center" wrapText="1"/>
    </xf>
    <xf numFmtId="4" fontId="65" fillId="0" borderId="1" xfId="102" applyNumberFormat="1" applyFont="1" applyBorder="1" applyAlignment="1">
      <alignment horizontal="right" vertical="top" wrapText="1"/>
    </xf>
    <xf numFmtId="4" fontId="65" fillId="0" borderId="1" xfId="102" applyNumberFormat="1" applyFont="1" applyBorder="1" applyAlignment="1">
      <alignment vertical="top" wrapText="1"/>
    </xf>
    <xf numFmtId="4" fontId="23" fillId="17" borderId="6" xfId="102" applyNumberFormat="1" applyFont="1" applyFill="1" applyBorder="1" applyAlignment="1">
      <alignment horizontal="right" vertical="top" wrapText="1"/>
    </xf>
    <xf numFmtId="3" fontId="22" fillId="0" borderId="0" xfId="102" applyNumberFormat="1" applyFont="1" applyBorder="1" applyAlignment="1">
      <alignment vertical="top" wrapText="1"/>
    </xf>
    <xf numFmtId="4" fontId="65" fillId="0" borderId="1" xfId="102" applyNumberFormat="1" applyFont="1" applyFill="1" applyBorder="1" applyAlignment="1">
      <alignment horizontal="left" vertical="top" wrapText="1"/>
    </xf>
    <xf numFmtId="4" fontId="65" fillId="0" borderId="1" xfId="102" applyNumberFormat="1" applyFont="1" applyFill="1" applyBorder="1" applyAlignment="1">
      <alignment horizontal="right" vertical="top" wrapText="1"/>
    </xf>
    <xf numFmtId="0" fontId="65" fillId="0" borderId="0" xfId="0" applyFont="1" applyAlignment="1">
      <alignment wrapText="1"/>
    </xf>
    <xf numFmtId="4" fontId="65" fillId="0" borderId="1" xfId="102" applyNumberFormat="1" applyFont="1" applyFill="1" applyBorder="1" applyAlignment="1">
      <alignment vertical="top" wrapText="1"/>
    </xf>
    <xf numFmtId="4" fontId="66" fillId="19" borderId="1" xfId="102" applyNumberFormat="1" applyFont="1" applyFill="1" applyBorder="1" applyAlignment="1">
      <alignment horizontal="center" vertical="top" wrapText="1"/>
    </xf>
    <xf numFmtId="4" fontId="66" fillId="19" borderId="1" xfId="102" applyNumberFormat="1" applyFont="1" applyFill="1" applyBorder="1" applyAlignment="1">
      <alignment horizontal="right" vertical="top" wrapText="1"/>
    </xf>
    <xf numFmtId="4" fontId="23" fillId="0" borderId="2" xfId="102" applyNumberFormat="1" applyFont="1" applyFill="1" applyBorder="1" applyAlignment="1">
      <alignment vertical="top" wrapText="1"/>
    </xf>
    <xf numFmtId="0" fontId="22" fillId="0" borderId="2" xfId="102" applyFont="1" applyBorder="1" applyAlignment="1">
      <alignment vertical="top" textRotation="90" wrapText="1"/>
    </xf>
    <xf numFmtId="4" fontId="22" fillId="0" borderId="4" xfId="102" applyNumberFormat="1" applyFont="1" applyBorder="1" applyAlignment="1">
      <alignment horizontal="left" vertical="top" wrapText="1"/>
    </xf>
    <xf numFmtId="4" fontId="22" fillId="0" borderId="5" xfId="102" applyNumberFormat="1" applyFont="1" applyBorder="1" applyAlignment="1">
      <alignment horizontal="right" vertical="top" wrapText="1"/>
    </xf>
    <xf numFmtId="4" fontId="22" fillId="0" borderId="5" xfId="102" applyNumberFormat="1" applyFont="1" applyBorder="1" applyAlignment="1">
      <alignment horizontal="center" vertical="top" wrapText="1"/>
    </xf>
    <xf numFmtId="4" fontId="22" fillId="0" borderId="5" xfId="102" applyNumberFormat="1" applyFont="1" applyBorder="1" applyAlignment="1">
      <alignment horizontal="center" vertical="top" textRotation="90" wrapText="1"/>
    </xf>
    <xf numFmtId="4" fontId="23" fillId="19" borderId="1" xfId="102" applyNumberFormat="1" applyFont="1" applyFill="1" applyBorder="1" applyAlignment="1">
      <alignment horizontal="center"/>
    </xf>
    <xf numFmtId="4" fontId="23" fillId="19" borderId="1" xfId="102" applyNumberFormat="1" applyFont="1" applyFill="1" applyBorder="1" applyAlignment="1">
      <alignment horizontal="right" vertical="top" wrapText="1"/>
    </xf>
    <xf numFmtId="4" fontId="22" fillId="0" borderId="1" xfId="102" applyNumberFormat="1" applyFont="1" applyFill="1" applyBorder="1" applyAlignment="1">
      <alignment vertical="top" wrapText="1"/>
    </xf>
    <xf numFmtId="4" fontId="22" fillId="0" borderId="1" xfId="102" applyNumberFormat="1" applyFont="1" applyFill="1" applyBorder="1" applyAlignment="1">
      <alignment vertical="top" textRotation="90" wrapText="1"/>
    </xf>
    <xf numFmtId="4" fontId="22" fillId="0" borderId="1" xfId="102" applyNumberFormat="1" applyFont="1" applyFill="1" applyBorder="1" applyAlignment="1">
      <alignment horizontal="left" vertical="top" wrapText="1"/>
    </xf>
    <xf numFmtId="4" fontId="22" fillId="0" borderId="1" xfId="102" applyNumberFormat="1" applyFont="1" applyFill="1" applyBorder="1" applyAlignment="1">
      <alignment horizontal="right" vertical="top" wrapText="1"/>
    </xf>
    <xf numFmtId="4" fontId="22" fillId="0" borderId="1" xfId="102" applyNumberFormat="1" applyFont="1" applyFill="1" applyBorder="1" applyAlignment="1">
      <alignment horizontal="center" vertical="top" wrapText="1"/>
    </xf>
    <xf numFmtId="4" fontId="22" fillId="0" borderId="1" xfId="129" applyNumberFormat="1" applyFont="1" applyFill="1" applyBorder="1" applyAlignment="1">
      <alignment vertical="top" textRotation="90" wrapText="1"/>
    </xf>
    <xf numFmtId="4" fontId="23" fillId="19" borderId="1" xfId="102" applyNumberFormat="1" applyFont="1" applyFill="1" applyBorder="1" applyAlignment="1">
      <alignment horizontal="center" vertical="top" wrapText="1"/>
    </xf>
    <xf numFmtId="4" fontId="23" fillId="19" borderId="5" xfId="102" applyNumberFormat="1" applyFont="1" applyFill="1" applyBorder="1" applyAlignment="1">
      <alignment horizontal="center"/>
    </xf>
    <xf numFmtId="4" fontId="23" fillId="19" borderId="5" xfId="102" applyNumberFormat="1" applyFont="1" applyFill="1" applyBorder="1" applyAlignment="1">
      <alignment horizontal="right" vertical="top" wrapText="1"/>
    </xf>
    <xf numFmtId="4" fontId="22" fillId="0" borderId="1" xfId="102" applyNumberFormat="1" applyFont="1" applyFill="1" applyBorder="1" applyAlignment="1">
      <alignment horizontal="center" vertical="top" textRotation="90" wrapText="1"/>
    </xf>
    <xf numFmtId="4" fontId="22" fillId="0" borderId="1" xfId="129" applyNumberFormat="1" applyFont="1" applyFill="1" applyBorder="1" applyAlignment="1">
      <alignment horizontal="center" vertical="top" textRotation="90" wrapText="1"/>
    </xf>
    <xf numFmtId="0" fontId="22" fillId="0" borderId="1" xfId="102" applyFont="1" applyBorder="1" applyAlignment="1">
      <alignment vertical="top" textRotation="90" wrapText="1"/>
    </xf>
    <xf numFmtId="0" fontId="65" fillId="0" borderId="0" xfId="0" applyFont="1" applyFill="1" applyBorder="1"/>
    <xf numFmtId="0" fontId="22" fillId="0" borderId="9" xfId="102" applyFont="1" applyBorder="1" applyAlignment="1">
      <alignment vertical="top" textRotation="90" wrapText="1"/>
    </xf>
    <xf numFmtId="4" fontId="22" fillId="0" borderId="6" xfId="102" applyNumberFormat="1" applyFont="1" applyBorder="1" applyAlignment="1">
      <alignment horizontal="left" vertical="top" wrapText="1"/>
    </xf>
    <xf numFmtId="4" fontId="22" fillId="0" borderId="6" xfId="102" applyNumberFormat="1" applyFont="1" applyBorder="1" applyAlignment="1">
      <alignment horizontal="right" vertical="top" wrapText="1"/>
    </xf>
    <xf numFmtId="4" fontId="23" fillId="17" borderId="1" xfId="102" applyNumberFormat="1" applyFont="1" applyFill="1" applyBorder="1" applyAlignment="1">
      <alignment horizontal="center"/>
    </xf>
    <xf numFmtId="4" fontId="22" fillId="0" borderId="23" xfId="102" applyNumberFormat="1" applyFont="1" applyBorder="1" applyAlignment="1">
      <alignment vertical="top" wrapText="1"/>
    </xf>
    <xf numFmtId="0" fontId="65" fillId="16" borderId="5" xfId="0" applyFont="1" applyFill="1" applyBorder="1" applyAlignment="1">
      <alignment vertical="top" textRotation="90" wrapText="1"/>
    </xf>
    <xf numFmtId="4" fontId="22" fillId="0" borderId="4" xfId="0" applyNumberFormat="1" applyFont="1" applyBorder="1" applyAlignment="1">
      <alignment vertical="top" wrapText="1"/>
    </xf>
    <xf numFmtId="4" fontId="65" fillId="0" borderId="15" xfId="0" applyNumberFormat="1" applyFont="1" applyFill="1" applyBorder="1" applyAlignment="1">
      <alignment horizontal="right" vertical="top"/>
    </xf>
    <xf numFmtId="4" fontId="65" fillId="0" borderId="5" xfId="0" applyNumberFormat="1" applyFont="1" applyFill="1" applyBorder="1" applyAlignment="1">
      <alignment vertical="top" textRotation="90" wrapText="1"/>
    </xf>
    <xf numFmtId="4" fontId="65" fillId="0" borderId="5" xfId="0" applyNumberFormat="1" applyFont="1" applyFill="1" applyBorder="1" applyAlignment="1">
      <alignment horizontal="center" vertical="top" wrapText="1"/>
    </xf>
    <xf numFmtId="4" fontId="65" fillId="0" borderId="14" xfId="0" applyNumberFormat="1" applyFont="1" applyFill="1" applyBorder="1" applyAlignment="1">
      <alignment horizontal="center" textRotation="90"/>
    </xf>
    <xf numFmtId="4" fontId="65" fillId="0" borderId="14" xfId="129" applyNumberFormat="1" applyFont="1" applyFill="1" applyBorder="1" applyAlignment="1">
      <alignment horizontal="center" textRotation="90"/>
    </xf>
    <xf numFmtId="4" fontId="65" fillId="0" borderId="14" xfId="129" applyNumberFormat="1" applyFont="1" applyFill="1" applyBorder="1" applyAlignment="1">
      <alignment horizontal="center" vertical="top" textRotation="90"/>
    </xf>
    <xf numFmtId="4" fontId="66" fillId="17" borderId="1" xfId="0" applyNumberFormat="1" applyFont="1" applyFill="1" applyBorder="1" applyAlignment="1">
      <alignment horizontal="center"/>
    </xf>
    <xf numFmtId="4" fontId="66" fillId="17" borderId="1" xfId="0" applyNumberFormat="1" applyFont="1" applyFill="1" applyBorder="1" applyAlignment="1">
      <alignment horizontal="right"/>
    </xf>
    <xf numFmtId="4" fontId="65" fillId="0" borderId="6" xfId="0" applyNumberFormat="1" applyFont="1" applyBorder="1" applyAlignment="1">
      <alignment horizontal="center"/>
    </xf>
    <xf numFmtId="4" fontId="65" fillId="0" borderId="6" xfId="0" applyNumberFormat="1" applyFont="1" applyBorder="1"/>
    <xf numFmtId="4" fontId="65" fillId="0" borderId="6" xfId="0" applyNumberFormat="1" applyFont="1" applyBorder="1" applyAlignment="1">
      <alignment textRotation="90"/>
    </xf>
    <xf numFmtId="4" fontId="65" fillId="0" borderId="8" xfId="0" applyNumberFormat="1" applyFont="1" applyBorder="1" applyAlignment="1">
      <alignment textRotation="90"/>
    </xf>
    <xf numFmtId="0" fontId="65" fillId="0" borderId="0" xfId="0" applyFont="1" applyBorder="1"/>
    <xf numFmtId="4" fontId="65" fillId="0" borderId="1" xfId="0" applyNumberFormat="1" applyFont="1" applyBorder="1" applyAlignment="1">
      <alignment horizontal="left" vertical="top" wrapText="1"/>
    </xf>
    <xf numFmtId="4" fontId="65" fillId="0" borderId="1" xfId="0" applyNumberFormat="1" applyFont="1" applyBorder="1" applyAlignment="1">
      <alignment horizontal="right" vertical="top"/>
    </xf>
    <xf numFmtId="4" fontId="65" fillId="0" borderId="5" xfId="0" applyNumberFormat="1" applyFont="1" applyBorder="1" applyAlignment="1">
      <alignment horizontal="center" vertical="top" textRotation="90"/>
    </xf>
    <xf numFmtId="4" fontId="65" fillId="0" borderId="5" xfId="129" applyNumberFormat="1" applyFont="1" applyBorder="1" applyAlignment="1">
      <alignment horizontal="center" vertical="top" textRotation="90"/>
    </xf>
    <xf numFmtId="4" fontId="65" fillId="0" borderId="1" xfId="0" applyNumberFormat="1" applyFont="1" applyBorder="1" applyAlignment="1">
      <alignment vertical="top" wrapText="1"/>
    </xf>
    <xf numFmtId="4" fontId="65" fillId="0" borderId="7" xfId="0" applyNumberFormat="1" applyFont="1" applyBorder="1" applyAlignment="1">
      <alignment horizontal="left" vertical="top" textRotation="90"/>
    </xf>
    <xf numFmtId="4" fontId="65" fillId="0" borderId="8" xfId="0" applyNumberFormat="1" applyFont="1" applyBorder="1" applyAlignment="1">
      <alignment horizontal="center"/>
    </xf>
    <xf numFmtId="4" fontId="65" fillId="0" borderId="8" xfId="0" applyNumberFormat="1" applyFont="1" applyBorder="1" applyAlignment="1">
      <alignment horizontal="center" textRotation="90"/>
    </xf>
    <xf numFmtId="0" fontId="22" fillId="0" borderId="3" xfId="0" applyFont="1" applyBorder="1"/>
    <xf numFmtId="0" fontId="22" fillId="0" borderId="21" xfId="0" applyFont="1" applyBorder="1"/>
    <xf numFmtId="4" fontId="66" fillId="19" borderId="1" xfId="0" applyNumberFormat="1" applyFont="1" applyFill="1" applyBorder="1" applyAlignment="1">
      <alignment horizontal="center"/>
    </xf>
    <xf numFmtId="4" fontId="66" fillId="19" borderId="1" xfId="0" applyNumberFormat="1" applyFont="1" applyFill="1" applyBorder="1" applyAlignment="1">
      <alignment horizontal="right"/>
    </xf>
    <xf numFmtId="4" fontId="65" fillId="0" borderId="1" xfId="0" applyNumberFormat="1" applyFont="1" applyBorder="1" applyAlignment="1">
      <alignment horizontal="center"/>
    </xf>
    <xf numFmtId="4" fontId="66" fillId="0" borderId="1" xfId="0" applyNumberFormat="1" applyFont="1" applyBorder="1"/>
    <xf numFmtId="4" fontId="66" fillId="0" borderId="1" xfId="0" applyNumberFormat="1" applyFont="1" applyBorder="1" applyAlignment="1">
      <alignment vertical="top" textRotation="90"/>
    </xf>
    <xf numFmtId="4" fontId="22" fillId="0" borderId="0" xfId="0" applyNumberFormat="1" applyFont="1"/>
    <xf numFmtId="4" fontId="22" fillId="0" borderId="0" xfId="129" applyNumberFormat="1" applyFont="1"/>
    <xf numFmtId="4" fontId="22" fillId="0" borderId="0" xfId="0" applyNumberFormat="1" applyFont="1" applyAlignment="1">
      <alignment textRotation="90"/>
    </xf>
    <xf numFmtId="4" fontId="22" fillId="16" borderId="0" xfId="129" applyNumberFormat="1" applyFont="1" applyFill="1"/>
    <xf numFmtId="187" fontId="23" fillId="0" borderId="1" xfId="129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187" fontId="22" fillId="0" borderId="1" xfId="129" applyNumberFormat="1" applyFont="1" applyFill="1" applyBorder="1" applyAlignment="1">
      <alignment horizontal="right" vertical="top" wrapText="1" readingOrder="1"/>
    </xf>
    <xf numFmtId="0" fontId="22" fillId="0" borderId="1" xfId="0" applyFont="1" applyFill="1" applyBorder="1" applyAlignment="1">
      <alignment horizontal="center" vertical="top" wrapText="1"/>
    </xf>
    <xf numFmtId="17" fontId="22" fillId="0" borderId="5" xfId="0" applyNumberFormat="1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 readingOrder="1"/>
    </xf>
    <xf numFmtId="187" fontId="23" fillId="0" borderId="6" xfId="129" applyNumberFormat="1" applyFont="1" applyFill="1" applyBorder="1" applyAlignment="1">
      <alignment vertical="top" wrapText="1" readingOrder="1"/>
    </xf>
    <xf numFmtId="3" fontId="22" fillId="0" borderId="1" xfId="129" applyNumberFormat="1" applyFont="1" applyFill="1" applyBorder="1" applyAlignment="1">
      <alignment vertical="center" textRotation="90" wrapText="1"/>
    </xf>
    <xf numFmtId="0" fontId="22" fillId="0" borderId="9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top" wrapText="1" readingOrder="1"/>
    </xf>
    <xf numFmtId="187" fontId="22" fillId="2" borderId="1" xfId="129" applyNumberFormat="1" applyFont="1" applyFill="1" applyBorder="1" applyAlignment="1">
      <alignment vertical="top" wrapText="1" readingOrder="1"/>
    </xf>
    <xf numFmtId="0" fontId="22" fillId="0" borderId="1" xfId="0" applyFont="1" applyBorder="1" applyAlignment="1">
      <alignment vertical="top" wrapText="1"/>
    </xf>
    <xf numFmtId="187" fontId="22" fillId="0" borderId="1" xfId="129" applyNumberFormat="1" applyFont="1" applyFill="1" applyBorder="1" applyAlignment="1">
      <alignment horizontal="center" vertical="top" wrapText="1"/>
    </xf>
    <xf numFmtId="17" fontId="22" fillId="0" borderId="1" xfId="0" applyNumberFormat="1" applyFont="1" applyFill="1" applyBorder="1" applyAlignment="1">
      <alignment horizontal="center" vertical="top" wrapText="1"/>
    </xf>
    <xf numFmtId="3" fontId="22" fillId="0" borderId="1" xfId="129" applyNumberFormat="1" applyFont="1" applyFill="1" applyBorder="1" applyAlignment="1">
      <alignment vertical="top" textRotation="90" wrapText="1"/>
    </xf>
    <xf numFmtId="3" fontId="22" fillId="0" borderId="1" xfId="129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textRotation="90" wrapText="1"/>
    </xf>
    <xf numFmtId="0" fontId="22" fillId="0" borderId="1" xfId="0" applyFont="1" applyFill="1" applyBorder="1" applyAlignment="1">
      <alignment horizontal="left" vertical="top" wrapText="1" readingOrder="1"/>
    </xf>
    <xf numFmtId="3" fontId="22" fillId="0" borderId="1" xfId="129" applyNumberFormat="1" applyFont="1" applyFill="1" applyBorder="1" applyAlignment="1">
      <alignment horizontal="center" vertical="top" textRotation="90" wrapText="1"/>
    </xf>
    <xf numFmtId="187" fontId="22" fillId="0" borderId="5" xfId="129" applyNumberFormat="1" applyFont="1" applyFill="1" applyBorder="1" applyAlignment="1">
      <alignment horizontal="center" vertical="center" textRotation="90" wrapText="1"/>
    </xf>
    <xf numFmtId="3" fontId="22" fillId="0" borderId="5" xfId="129" applyNumberFormat="1" applyFont="1" applyFill="1" applyBorder="1" applyAlignment="1">
      <alignment horizontal="center" vertical="top" textRotation="90" wrapText="1"/>
    </xf>
    <xf numFmtId="3" fontId="22" fillId="0" borderId="5" xfId="129" applyNumberFormat="1" applyFont="1" applyFill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/>
    </xf>
    <xf numFmtId="3" fontId="22" fillId="0" borderId="5" xfId="129" applyNumberFormat="1" applyFont="1" applyFill="1" applyBorder="1" applyAlignment="1">
      <alignment horizontal="center" vertical="top" wrapText="1"/>
    </xf>
    <xf numFmtId="187" fontId="22" fillId="0" borderId="6" xfId="129" applyNumberFormat="1" applyFont="1" applyFill="1" applyBorder="1" applyAlignment="1">
      <alignment vertical="top" wrapText="1" readingOrder="1"/>
    </xf>
    <xf numFmtId="0" fontId="23" fillId="7" borderId="9" xfId="0" applyFont="1" applyFill="1" applyBorder="1" applyAlignment="1">
      <alignment horizontal="center" vertical="top" wrapText="1" readingOrder="1"/>
    </xf>
    <xf numFmtId="187" fontId="23" fillId="7" borderId="6" xfId="129" applyNumberFormat="1" applyFont="1" applyFill="1" applyBorder="1" applyAlignment="1">
      <alignment vertical="top" wrapText="1" readingOrder="1"/>
    </xf>
    <xf numFmtId="0" fontId="22" fillId="0" borderId="1" xfId="0" applyFont="1" applyBorder="1"/>
    <xf numFmtId="187" fontId="22" fillId="0" borderId="1" xfId="0" applyNumberFormat="1" applyFont="1" applyBorder="1"/>
    <xf numFmtId="187" fontId="23" fillId="0" borderId="1" xfId="129" applyNumberFormat="1" applyFont="1" applyBorder="1" applyAlignment="1">
      <alignment textRotation="90"/>
    </xf>
    <xf numFmtId="4" fontId="22" fillId="0" borderId="22" xfId="129" applyNumberFormat="1" applyFont="1" applyBorder="1" applyAlignment="1">
      <alignment vertical="top" textRotation="90" wrapText="1"/>
    </xf>
    <xf numFmtId="4" fontId="22" fillId="0" borderId="14" xfId="102" applyNumberFormat="1" applyFont="1" applyBorder="1" applyAlignment="1">
      <alignment vertical="top" textRotation="90" wrapText="1"/>
    </xf>
    <xf numFmtId="43" fontId="22" fillId="0" borderId="0" xfId="129" applyFont="1"/>
    <xf numFmtId="43" fontId="22" fillId="16" borderId="0" xfId="129" applyFont="1" applyFill="1"/>
    <xf numFmtId="0" fontId="39" fillId="18" borderId="5" xfId="0" applyFont="1" applyFill="1" applyBorder="1" applyAlignment="1">
      <alignment horizontal="center" vertical="center" wrapText="1"/>
    </xf>
    <xf numFmtId="0" fontId="39" fillId="18" borderId="5" xfId="0" applyFont="1" applyFill="1" applyBorder="1" applyAlignment="1">
      <alignment vertical="top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0" fontId="65" fillId="16" borderId="23" xfId="0" applyFont="1" applyFill="1" applyBorder="1" applyAlignment="1">
      <alignment horizontal="center" vertical="center" textRotation="90" wrapText="1"/>
    </xf>
    <xf numFmtId="4" fontId="22" fillId="0" borderId="9" xfId="0" applyNumberFormat="1" applyFont="1" applyBorder="1"/>
    <xf numFmtId="4" fontId="23" fillId="0" borderId="1" xfId="102" applyNumberFormat="1" applyFont="1" applyFill="1" applyBorder="1" applyAlignment="1">
      <alignment vertical="top" wrapText="1"/>
    </xf>
    <xf numFmtId="0" fontId="65" fillId="0" borderId="1" xfId="0" applyFont="1" applyBorder="1" applyAlignment="1">
      <alignment vertical="top" textRotation="90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187" fontId="22" fillId="0" borderId="0" xfId="129" applyNumberFormat="1" applyFont="1" applyFill="1" applyBorder="1" applyAlignment="1">
      <alignment vertical="top" wrapText="1" readingOrder="1"/>
    </xf>
    <xf numFmtId="0" fontId="22" fillId="0" borderId="0" xfId="0" applyFont="1" applyFill="1" applyBorder="1" applyAlignment="1">
      <alignment horizontal="center" vertical="top" textRotation="90" wrapText="1"/>
    </xf>
    <xf numFmtId="17" fontId="22" fillId="0" borderId="0" xfId="0" applyNumberFormat="1" applyFont="1" applyFill="1" applyBorder="1" applyAlignment="1">
      <alignment horizontal="center" vertical="top" wrapText="1"/>
    </xf>
    <xf numFmtId="3" fontId="22" fillId="0" borderId="0" xfId="129" applyNumberFormat="1" applyFont="1" applyFill="1" applyBorder="1" applyAlignment="1">
      <alignment horizontal="center" vertical="top" textRotation="90" wrapText="1"/>
    </xf>
    <xf numFmtId="3" fontId="22" fillId="0" borderId="0" xfId="129" applyNumberFormat="1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/>
    </xf>
    <xf numFmtId="3" fontId="22" fillId="0" borderId="0" xfId="129" applyNumberFormat="1" applyFont="1" applyFill="1" applyBorder="1" applyAlignment="1">
      <alignment horizontal="center" vertical="top" wrapText="1"/>
    </xf>
    <xf numFmtId="187" fontId="22" fillId="0" borderId="0" xfId="129" applyNumberFormat="1" applyFont="1" applyFill="1" applyBorder="1" applyAlignment="1">
      <alignment horizontal="center" vertical="center" textRotation="90" wrapText="1"/>
    </xf>
    <xf numFmtId="0" fontId="22" fillId="0" borderId="0" xfId="0" applyFont="1" applyBorder="1"/>
    <xf numFmtId="3" fontId="22" fillId="0" borderId="1" xfId="129" applyNumberFormat="1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/>
    </xf>
    <xf numFmtId="4" fontId="39" fillId="7" borderId="6" xfId="0" applyNumberFormat="1" applyFont="1" applyFill="1" applyBorder="1"/>
    <xf numFmtId="0" fontId="39" fillId="0" borderId="1" xfId="0" applyFont="1" applyFill="1" applyBorder="1" applyAlignment="1">
      <alignment horizontal="center" vertical="center" wrapText="1"/>
    </xf>
    <xf numFmtId="0" fontId="66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textRotation="90" wrapText="1"/>
    </xf>
    <xf numFmtId="0" fontId="66" fillId="0" borderId="5" xfId="0" applyFont="1" applyFill="1" applyBorder="1" applyAlignment="1">
      <alignment horizontal="center" vertical="center"/>
    </xf>
    <xf numFmtId="3" fontId="71" fillId="0" borderId="5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top" wrapText="1"/>
    </xf>
    <xf numFmtId="0" fontId="65" fillId="0" borderId="1" xfId="0" applyFont="1" applyFill="1" applyBorder="1" applyAlignment="1">
      <alignment horizontal="right" vertical="top"/>
    </xf>
    <xf numFmtId="0" fontId="65" fillId="0" borderId="1" xfId="0" applyFont="1" applyFill="1" applyBorder="1" applyAlignment="1">
      <alignment horizontal="center" vertical="top" wrapText="1"/>
    </xf>
    <xf numFmtId="3" fontId="72" fillId="0" borderId="1" xfId="0" applyNumberFormat="1" applyFont="1" applyFill="1" applyBorder="1" applyAlignment="1">
      <alignment horizontal="left" vertical="top" wrapText="1"/>
    </xf>
    <xf numFmtId="0" fontId="72" fillId="0" borderId="1" xfId="0" applyFont="1" applyFill="1" applyBorder="1" applyAlignment="1">
      <alignment horizontal="center" vertical="center" textRotation="90" wrapText="1"/>
    </xf>
    <xf numFmtId="0" fontId="65" fillId="0" borderId="0" xfId="0" applyFont="1" applyFill="1" applyBorder="1" applyAlignment="1">
      <alignment horizontal="left" vertical="top"/>
    </xf>
    <xf numFmtId="0" fontId="65" fillId="0" borderId="1" xfId="0" applyFont="1" applyFill="1" applyBorder="1" applyAlignment="1">
      <alignment horizontal="left" vertical="top" textRotation="90"/>
    </xf>
    <xf numFmtId="0" fontId="71" fillId="0" borderId="1" xfId="0" applyFont="1" applyFill="1" applyBorder="1" applyAlignment="1">
      <alignment horizontal="center" vertical="center" textRotation="90" wrapText="1"/>
    </xf>
    <xf numFmtId="0" fontId="22" fillId="0" borderId="6" xfId="0" applyFont="1" applyFill="1" applyBorder="1" applyAlignment="1">
      <alignment vertical="top" wrapText="1" readingOrder="1"/>
    </xf>
    <xf numFmtId="187" fontId="22" fillId="0" borderId="6" xfId="20" applyNumberFormat="1" applyFont="1" applyFill="1" applyBorder="1" applyAlignment="1">
      <alignment vertical="top" wrapText="1" readingOrder="1"/>
    </xf>
    <xf numFmtId="3" fontId="22" fillId="0" borderId="7" xfId="20" applyNumberFormat="1" applyFont="1" applyFill="1" applyBorder="1" applyAlignment="1">
      <alignment vertical="top" textRotation="90" wrapText="1"/>
    </xf>
    <xf numFmtId="3" fontId="22" fillId="0" borderId="7" xfId="20" applyNumberFormat="1" applyFont="1" applyFill="1" applyBorder="1" applyAlignment="1">
      <alignment vertical="center" textRotation="90" wrapText="1"/>
    </xf>
    <xf numFmtId="0" fontId="71" fillId="0" borderId="7" xfId="0" applyFont="1" applyFill="1" applyBorder="1" applyAlignment="1">
      <alignment horizontal="center" vertical="center" textRotation="90" wrapText="1"/>
    </xf>
    <xf numFmtId="0" fontId="66" fillId="17" borderId="1" xfId="0" applyFont="1" applyFill="1" applyBorder="1" applyAlignment="1">
      <alignment horizontal="center" vertical="top" wrapText="1"/>
    </xf>
    <xf numFmtId="3" fontId="73" fillId="17" borderId="21" xfId="20" applyNumberFormat="1" applyFont="1" applyFill="1" applyBorder="1" applyAlignment="1">
      <alignment horizontal="right" vertical="top" wrapText="1" readingOrder="1"/>
    </xf>
    <xf numFmtId="0" fontId="22" fillId="0" borderId="6" xfId="0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vertical="top"/>
    </xf>
    <xf numFmtId="3" fontId="22" fillId="0" borderId="1" xfId="0" applyNumberFormat="1" applyFont="1" applyFill="1" applyBorder="1" applyAlignment="1">
      <alignment vertical="top" textRotation="90"/>
    </xf>
    <xf numFmtId="3" fontId="71" fillId="0" borderId="1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/>
    <xf numFmtId="0" fontId="74" fillId="0" borderId="0" xfId="0" applyFont="1" applyFill="1"/>
    <xf numFmtId="0" fontId="2" fillId="0" borderId="0" xfId="0" applyFont="1" applyFill="1" applyBorder="1"/>
    <xf numFmtId="187" fontId="2" fillId="0" borderId="0" xfId="20" applyNumberFormat="1" applyFont="1" applyFill="1" applyBorder="1"/>
    <xf numFmtId="0" fontId="65" fillId="0" borderId="0" xfId="0" applyFont="1" applyFill="1" applyAlignment="1">
      <alignment vertical="top"/>
    </xf>
    <xf numFmtId="0" fontId="65" fillId="0" borderId="7" xfId="102" applyFont="1" applyBorder="1" applyAlignment="1">
      <alignment vertical="top" wrapText="1"/>
    </xf>
    <xf numFmtId="0" fontId="65" fillId="0" borderId="6" xfId="102" applyFont="1" applyBorder="1" applyAlignment="1">
      <alignment vertical="top" wrapText="1"/>
    </xf>
    <xf numFmtId="4" fontId="65" fillId="0" borderId="7" xfId="102" applyNumberFormat="1" applyFont="1" applyBorder="1" applyAlignment="1">
      <alignment vertical="top" textRotation="90" wrapText="1"/>
    </xf>
    <xf numFmtId="4" fontId="65" fillId="0" borderId="6" xfId="102" applyNumberFormat="1" applyFont="1" applyBorder="1" applyAlignment="1">
      <alignment vertical="top" textRotation="90" wrapText="1"/>
    </xf>
    <xf numFmtId="4" fontId="65" fillId="0" borderId="7" xfId="129" applyNumberFormat="1" applyFont="1" applyBorder="1" applyAlignment="1">
      <alignment vertical="top" textRotation="90" wrapText="1"/>
    </xf>
    <xf numFmtId="4" fontId="65" fillId="0" borderId="6" xfId="129" applyNumberFormat="1" applyFont="1" applyBorder="1" applyAlignment="1">
      <alignment vertical="top" textRotation="90" wrapText="1"/>
    </xf>
    <xf numFmtId="0" fontId="22" fillId="0" borderId="7" xfId="102" applyFont="1" applyBorder="1" applyAlignment="1">
      <alignment vertical="center" textRotation="90" wrapText="1"/>
    </xf>
    <xf numFmtId="0" fontId="22" fillId="0" borderId="6" xfId="102" applyFont="1" applyBorder="1" applyAlignment="1">
      <alignment vertical="center" textRotation="90" wrapText="1"/>
    </xf>
    <xf numFmtId="4" fontId="65" fillId="0" borderId="7" xfId="102" applyNumberFormat="1" applyFont="1" applyBorder="1" applyAlignment="1">
      <alignment vertical="top" wrapText="1"/>
    </xf>
    <xf numFmtId="4" fontId="65" fillId="0" borderId="6" xfId="102" applyNumberFormat="1" applyFont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textRotation="90" wrapText="1"/>
    </xf>
    <xf numFmtId="187" fontId="22" fillId="0" borderId="2" xfId="20" applyNumberFormat="1" applyFont="1" applyFill="1" applyBorder="1" applyAlignment="1">
      <alignment vertical="top" wrapText="1" readingOrder="1"/>
    </xf>
    <xf numFmtId="3" fontId="22" fillId="0" borderId="1" xfId="20" applyNumberFormat="1" applyFont="1" applyFill="1" applyBorder="1" applyAlignment="1">
      <alignment vertical="center" textRotation="90" wrapText="1"/>
    </xf>
    <xf numFmtId="3" fontId="22" fillId="0" borderId="1" xfId="20" applyNumberFormat="1" applyFont="1" applyFill="1" applyBorder="1" applyAlignment="1">
      <alignment vertical="top" textRotation="90" wrapText="1"/>
    </xf>
    <xf numFmtId="0" fontId="68" fillId="0" borderId="1" xfId="0" applyFont="1" applyFill="1" applyBorder="1" applyAlignment="1">
      <alignment horizontal="center" vertical="center" wrapText="1"/>
    </xf>
    <xf numFmtId="4" fontId="65" fillId="0" borderId="6" xfId="102" applyNumberFormat="1" applyFont="1" applyFill="1" applyBorder="1" applyAlignment="1">
      <alignment horizontal="left" vertical="top" wrapText="1"/>
    </xf>
    <xf numFmtId="4" fontId="65" fillId="0" borderId="6" xfId="102" applyNumberFormat="1" applyFont="1" applyFill="1" applyBorder="1" applyAlignment="1">
      <alignment horizontal="right" vertical="top" wrapText="1"/>
    </xf>
    <xf numFmtId="4" fontId="19" fillId="0" borderId="1" xfId="102" applyNumberFormat="1" applyFont="1" applyFill="1" applyBorder="1" applyAlignment="1">
      <alignment horizontal="center" vertical="top" wrapText="1"/>
    </xf>
    <xf numFmtId="4" fontId="19" fillId="0" borderId="5" xfId="102" applyNumberFormat="1" applyFont="1" applyFill="1" applyBorder="1" applyAlignment="1">
      <alignment vertical="top" wrapText="1"/>
    </xf>
    <xf numFmtId="3" fontId="65" fillId="0" borderId="1" xfId="0" applyNumberFormat="1" applyFont="1" applyFill="1" applyBorder="1" applyAlignment="1">
      <alignment horizontal="right" vertical="top"/>
    </xf>
    <xf numFmtId="0" fontId="65" fillId="0" borderId="1" xfId="0" applyFont="1" applyFill="1" applyBorder="1" applyAlignment="1">
      <alignment horizontal="right" vertical="top" textRotation="90"/>
    </xf>
    <xf numFmtId="3" fontId="72" fillId="0" borderId="1" xfId="0" applyNumberFormat="1" applyFont="1" applyFill="1" applyBorder="1" applyAlignment="1">
      <alignment horizontal="left" vertical="top" textRotation="90" wrapText="1"/>
    </xf>
    <xf numFmtId="0" fontId="65" fillId="0" borderId="6" xfId="102" applyFont="1" applyBorder="1" applyAlignment="1">
      <alignment horizontal="left" vertical="top" wrapText="1"/>
    </xf>
    <xf numFmtId="0" fontId="44" fillId="0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/>
    </xf>
    <xf numFmtId="0" fontId="44" fillId="6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44" fillId="14" borderId="3" xfId="0" applyFont="1" applyFill="1" applyBorder="1" applyAlignment="1">
      <alignment horizontal="center" vertical="center"/>
    </xf>
    <xf numFmtId="0" fontId="44" fillId="14" borderId="21" xfId="0" applyFont="1" applyFill="1" applyBorder="1" applyAlignment="1">
      <alignment horizontal="center" vertical="center"/>
    </xf>
    <xf numFmtId="0" fontId="44" fillId="14" borderId="9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9" fillId="7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3" fillId="0" borderId="5" xfId="0" applyFont="1" applyFill="1" applyBorder="1" applyAlignment="1">
      <alignment horizontal="center" vertical="top" textRotation="90" wrapText="1"/>
    </xf>
    <xf numFmtId="0" fontId="53" fillId="0" borderId="7" xfId="0" applyFont="1" applyFill="1" applyBorder="1" applyAlignment="1">
      <alignment horizontal="center" vertical="top" textRotation="90" wrapText="1"/>
    </xf>
    <xf numFmtId="0" fontId="53" fillId="0" borderId="5" xfId="0" applyFont="1" applyFill="1" applyBorder="1" applyAlignment="1">
      <alignment horizontal="left" vertical="top" wrapText="1"/>
    </xf>
    <xf numFmtId="0" fontId="53" fillId="0" borderId="7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left" vertical="top" wrapText="1"/>
    </xf>
    <xf numFmtId="43" fontId="53" fillId="0" borderId="5" xfId="20" applyFont="1" applyBorder="1" applyAlignment="1">
      <alignment horizontal="center" vertical="top" textRotation="90" wrapText="1"/>
    </xf>
    <xf numFmtId="43" fontId="53" fillId="0" borderId="7" xfId="20" applyFont="1" applyBorder="1" applyAlignment="1">
      <alignment horizontal="center" vertical="top" textRotation="90" wrapText="1"/>
    </xf>
    <xf numFmtId="43" fontId="53" fillId="0" borderId="6" xfId="20" applyFont="1" applyBorder="1" applyAlignment="1">
      <alignment horizontal="center" vertical="top" textRotation="90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left" vertical="top" wrapText="1" readingOrder="1"/>
    </xf>
    <xf numFmtId="0" fontId="48" fillId="0" borderId="7" xfId="0" applyFont="1" applyBorder="1" applyAlignment="1">
      <alignment horizontal="left" vertical="top" wrapText="1" readingOrder="1"/>
    </xf>
    <xf numFmtId="0" fontId="48" fillId="0" borderId="6" xfId="0" applyFont="1" applyBorder="1" applyAlignment="1">
      <alignment horizontal="left" vertical="top" wrapText="1" readingOrder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center" vertical="top" wrapText="1"/>
    </xf>
    <xf numFmtId="0" fontId="30" fillId="0" borderId="7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0" fontId="39" fillId="0" borderId="5" xfId="0" applyFont="1" applyFill="1" applyBorder="1" applyAlignment="1">
      <alignment horizontal="center" vertical="top" wrapText="1"/>
    </xf>
    <xf numFmtId="0" fontId="39" fillId="0" borderId="7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53" fillId="0" borderId="7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center" vertical="top" textRotation="90" wrapText="1"/>
    </xf>
    <xf numFmtId="17" fontId="9" fillId="0" borderId="5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187" fontId="53" fillId="0" borderId="5" xfId="0" applyNumberFormat="1" applyFont="1" applyBorder="1" applyAlignment="1">
      <alignment horizontal="center" textRotation="90"/>
    </xf>
    <xf numFmtId="187" fontId="53" fillId="0" borderId="7" xfId="0" applyNumberFormat="1" applyFont="1" applyBorder="1" applyAlignment="1">
      <alignment horizontal="center" textRotation="90"/>
    </xf>
    <xf numFmtId="187" fontId="53" fillId="0" borderId="6" xfId="0" applyNumberFormat="1" applyFont="1" applyBorder="1" applyAlignment="1">
      <alignment horizontal="center" textRotation="90"/>
    </xf>
    <xf numFmtId="0" fontId="30" fillId="0" borderId="5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left" vertical="top" wrapText="1"/>
    </xf>
    <xf numFmtId="17" fontId="9" fillId="0" borderId="5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87" fontId="9" fillId="0" borderId="5" xfId="20" applyNumberFormat="1" applyFont="1" applyFill="1" applyBorder="1" applyAlignment="1">
      <alignment horizontal="center" textRotation="90"/>
    </xf>
    <xf numFmtId="187" fontId="9" fillId="0" borderId="7" xfId="20" applyNumberFormat="1" applyFont="1" applyFill="1" applyBorder="1" applyAlignment="1">
      <alignment horizontal="center" textRotation="90"/>
    </xf>
    <xf numFmtId="187" fontId="9" fillId="0" borderId="6" xfId="20" applyNumberFormat="1" applyFont="1" applyFill="1" applyBorder="1" applyAlignment="1">
      <alignment horizontal="center" textRotation="90"/>
    </xf>
    <xf numFmtId="0" fontId="9" fillId="0" borderId="5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4" fillId="7" borderId="1" xfId="0" applyFont="1" applyFill="1" applyBorder="1" applyAlignment="1">
      <alignment horizontal="center" vertical="center" wrapText="1"/>
    </xf>
    <xf numFmtId="0" fontId="44" fillId="7" borderId="5" xfId="0" applyFont="1" applyFill="1" applyBorder="1" applyAlignment="1">
      <alignment horizontal="center" vertical="center" wrapText="1"/>
    </xf>
    <xf numFmtId="0" fontId="44" fillId="7" borderId="7" xfId="0" applyFont="1" applyFill="1" applyBorder="1" applyAlignment="1">
      <alignment horizontal="center" vertical="center" wrapText="1"/>
    </xf>
    <xf numFmtId="0" fontId="44" fillId="7" borderId="6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187" fontId="13" fillId="0" borderId="5" xfId="20" applyNumberFormat="1" applyFont="1" applyBorder="1" applyAlignment="1">
      <alignment horizontal="center" vertical="top" textRotation="90" wrapText="1"/>
    </xf>
    <xf numFmtId="187" fontId="13" fillId="0" borderId="7" xfId="20" applyNumberFormat="1" applyFont="1" applyBorder="1" applyAlignment="1">
      <alignment horizontal="center" vertical="top" textRotation="90" wrapText="1"/>
    </xf>
    <xf numFmtId="187" fontId="13" fillId="0" borderId="6" xfId="20" applyNumberFormat="1" applyFont="1" applyBorder="1" applyAlignment="1">
      <alignment horizontal="center" vertical="top" textRotation="90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7" xfId="0" applyFont="1" applyFill="1" applyBorder="1" applyAlignment="1">
      <alignment horizontal="center" vertical="top" wrapText="1"/>
    </xf>
    <xf numFmtId="43" fontId="13" fillId="0" borderId="5" xfId="20" applyFont="1" applyBorder="1" applyAlignment="1">
      <alignment horizontal="center" vertical="top" textRotation="90" wrapText="1"/>
    </xf>
    <xf numFmtId="43" fontId="13" fillId="0" borderId="7" xfId="20" applyFont="1" applyBorder="1" applyAlignment="1">
      <alignment horizontal="center" vertical="top" textRotation="90" wrapText="1"/>
    </xf>
    <xf numFmtId="0" fontId="30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0" fillId="0" borderId="5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textRotation="90" wrapText="1"/>
    </xf>
    <xf numFmtId="0" fontId="9" fillId="0" borderId="7" xfId="0" applyFont="1" applyFill="1" applyBorder="1" applyAlignment="1">
      <alignment horizontal="center" vertical="top" textRotation="90" wrapText="1"/>
    </xf>
    <xf numFmtId="0" fontId="9" fillId="0" borderId="6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187" fontId="9" fillId="0" borderId="5" xfId="0" applyNumberFormat="1" applyFont="1" applyBorder="1" applyAlignment="1">
      <alignment horizontal="center"/>
    </xf>
    <xf numFmtId="187" fontId="9" fillId="0" borderId="7" xfId="0" applyNumberFormat="1" applyFont="1" applyBorder="1" applyAlignment="1">
      <alignment horizontal="center"/>
    </xf>
    <xf numFmtId="187" fontId="9" fillId="0" borderId="6" xfId="0" applyNumberFormat="1" applyFont="1" applyBorder="1" applyAlignment="1">
      <alignment horizontal="center"/>
    </xf>
    <xf numFmtId="0" fontId="39" fillId="7" borderId="5" xfId="0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39" fillId="7" borderId="6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87" fontId="53" fillId="0" borderId="5" xfId="20" applyNumberFormat="1" applyFont="1" applyBorder="1" applyAlignment="1">
      <alignment horizontal="center" vertical="top" textRotation="90" wrapText="1"/>
    </xf>
    <xf numFmtId="187" fontId="53" fillId="0" borderId="6" xfId="20" applyNumberFormat="1" applyFont="1" applyBorder="1" applyAlignment="1">
      <alignment horizontal="center" vertical="top" textRotation="90" wrapText="1"/>
    </xf>
    <xf numFmtId="0" fontId="54" fillId="0" borderId="5" xfId="0" applyFont="1" applyFill="1" applyBorder="1" applyAlignment="1">
      <alignment horizontal="center" vertical="top" textRotation="90" wrapText="1"/>
    </xf>
    <xf numFmtId="0" fontId="54" fillId="0" borderId="6" xfId="0" applyFont="1" applyFill="1" applyBorder="1" applyAlignment="1">
      <alignment horizontal="center" vertical="top" textRotation="90" wrapText="1"/>
    </xf>
    <xf numFmtId="187" fontId="54" fillId="0" borderId="5" xfId="20" applyNumberFormat="1" applyFont="1" applyBorder="1" applyAlignment="1">
      <alignment horizontal="center" vertical="top" textRotation="90" wrapText="1"/>
    </xf>
    <xf numFmtId="187" fontId="54" fillId="0" borderId="6" xfId="20" applyNumberFormat="1" applyFont="1" applyBorder="1" applyAlignment="1">
      <alignment horizontal="center" vertical="top" textRotation="90" wrapText="1"/>
    </xf>
    <xf numFmtId="0" fontId="48" fillId="0" borderId="5" xfId="0" applyFont="1" applyBorder="1" applyAlignment="1">
      <alignment vertical="top" wrapText="1" readingOrder="1"/>
    </xf>
    <xf numFmtId="0" fontId="36" fillId="0" borderId="7" xfId="0" applyFont="1" applyBorder="1" applyAlignment="1">
      <alignment vertical="top" wrapText="1"/>
    </xf>
    <xf numFmtId="0" fontId="36" fillId="0" borderId="6" xfId="0" applyFont="1" applyBorder="1" applyAlignment="1">
      <alignment vertical="top" wrapText="1"/>
    </xf>
    <xf numFmtId="3" fontId="48" fillId="2" borderId="5" xfId="20" applyNumberFormat="1" applyFont="1" applyFill="1" applyBorder="1" applyAlignment="1">
      <alignment vertical="top" wrapText="1" readingOrder="1"/>
    </xf>
    <xf numFmtId="0" fontId="36" fillId="0" borderId="7" xfId="0" applyFont="1" applyBorder="1" applyAlignment="1">
      <alignment vertical="top" wrapText="1" readingOrder="1"/>
    </xf>
    <xf numFmtId="0" fontId="36" fillId="0" borderId="6" xfId="0" applyFont="1" applyBorder="1" applyAlignment="1">
      <alignment vertical="top" wrapText="1" readingOrder="1"/>
    </xf>
    <xf numFmtId="43" fontId="9" fillId="0" borderId="5" xfId="20" applyFont="1" applyBorder="1" applyAlignment="1">
      <alignment horizontal="center" vertical="top" textRotation="90" wrapText="1"/>
    </xf>
    <xf numFmtId="43" fontId="9" fillId="0" borderId="7" xfId="20" applyFont="1" applyBorder="1" applyAlignment="1">
      <alignment horizontal="center" vertical="top" textRotation="90" wrapText="1"/>
    </xf>
    <xf numFmtId="43" fontId="9" fillId="0" borderId="6" xfId="20" applyFont="1" applyBorder="1" applyAlignment="1">
      <alignment horizontal="center" vertical="top" textRotation="90" wrapText="1"/>
    </xf>
    <xf numFmtId="0" fontId="59" fillId="0" borderId="6" xfId="0" applyFont="1" applyBorder="1" applyAlignment="1">
      <alignment horizontal="center" vertical="top" textRotation="90" wrapText="1"/>
    </xf>
    <xf numFmtId="0" fontId="30" fillId="0" borderId="7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6" fillId="0" borderId="6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36" fillId="0" borderId="7" xfId="0" applyFont="1" applyBorder="1" applyAlignment="1">
      <alignment horizontal="center" vertical="top" wrapText="1"/>
    </xf>
    <xf numFmtId="0" fontId="36" fillId="0" borderId="6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187" fontId="11" fillId="8" borderId="1" xfId="20" applyNumberFormat="1" applyFont="1" applyFill="1" applyBorder="1" applyAlignment="1">
      <alignment horizontal="center" vertical="center" wrapText="1"/>
    </xf>
    <xf numFmtId="187" fontId="9" fillId="0" borderId="1" xfId="20" applyNumberFormat="1" applyFont="1" applyFill="1" applyBorder="1" applyAlignment="1">
      <alignment horizontal="center" vertical="center" textRotation="90"/>
    </xf>
    <xf numFmtId="187" fontId="11" fillId="8" borderId="1" xfId="20" applyNumberFormat="1" applyFont="1" applyFill="1" applyBorder="1" applyAlignment="1">
      <alignment horizontal="center" vertical="center"/>
    </xf>
    <xf numFmtId="187" fontId="9" fillId="0" borderId="1" xfId="2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87" fontId="9" fillId="8" borderId="1" xfId="2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 readingOrder="1"/>
    </xf>
    <xf numFmtId="187" fontId="9" fillId="0" borderId="1" xfId="20" applyNumberFormat="1" applyFont="1" applyFill="1" applyBorder="1" applyAlignment="1">
      <alignment horizontal="center" vertical="top" textRotation="90"/>
    </xf>
    <xf numFmtId="0" fontId="11" fillId="0" borderId="1" xfId="0" applyFont="1" applyFill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 readingOrder="1"/>
    </xf>
    <xf numFmtId="0" fontId="15" fillId="0" borderId="2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3" fontId="37" fillId="0" borderId="5" xfId="0" applyNumberFormat="1" applyFont="1" applyBorder="1" applyAlignment="1">
      <alignment horizontal="center" vertical="center" textRotation="90"/>
    </xf>
    <xf numFmtId="0" fontId="37" fillId="0" borderId="7" xfId="0" applyFont="1" applyBorder="1" applyAlignment="1">
      <alignment horizontal="center" vertical="center" textRotation="90"/>
    </xf>
    <xf numFmtId="0" fontId="37" fillId="0" borderId="6" xfId="0" applyFont="1" applyBorder="1" applyAlignment="1">
      <alignment horizontal="center" vertical="center" textRotation="90"/>
    </xf>
    <xf numFmtId="0" fontId="37" fillId="0" borderId="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textRotation="90"/>
    </xf>
    <xf numFmtId="0" fontId="37" fillId="0" borderId="1" xfId="0" applyFont="1" applyBorder="1" applyAlignment="1">
      <alignment horizontal="left" vertical="top" wrapText="1" inden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textRotation="90"/>
    </xf>
    <xf numFmtId="15" fontId="37" fillId="0" borderId="5" xfId="0" applyNumberFormat="1" applyFont="1" applyBorder="1" applyAlignment="1">
      <alignment horizontal="center" vertical="center" textRotation="90"/>
    </xf>
    <xf numFmtId="0" fontId="17" fillId="7" borderId="3" xfId="0" applyFont="1" applyFill="1" applyBorder="1" applyAlignment="1">
      <alignment horizontal="left" vertical="top" wrapText="1"/>
    </xf>
    <xf numFmtId="0" fontId="17" fillId="7" borderId="21" xfId="0" applyFont="1" applyFill="1" applyBorder="1" applyAlignment="1">
      <alignment horizontal="left" vertical="top" wrapText="1"/>
    </xf>
    <xf numFmtId="0" fontId="17" fillId="7" borderId="9" xfId="0" applyFont="1" applyFill="1" applyBorder="1" applyAlignment="1">
      <alignment horizontal="left" vertical="top" wrapText="1"/>
    </xf>
    <xf numFmtId="0" fontId="37" fillId="0" borderId="5" xfId="0" applyFont="1" applyFill="1" applyBorder="1" applyAlignment="1">
      <alignment horizontal="left" vertical="top" wrapText="1" indent="1"/>
    </xf>
    <xf numFmtId="0" fontId="37" fillId="0" borderId="7" xfId="0" applyFont="1" applyFill="1" applyBorder="1" applyAlignment="1">
      <alignment horizontal="left" vertical="top" wrapText="1" indent="1"/>
    </xf>
    <xf numFmtId="0" fontId="37" fillId="0" borderId="6" xfId="0" applyFont="1" applyFill="1" applyBorder="1" applyAlignment="1">
      <alignment horizontal="left" vertical="top" wrapText="1" indent="1"/>
    </xf>
    <xf numFmtId="187" fontId="37" fillId="0" borderId="1" xfId="0" applyNumberFormat="1" applyFont="1" applyBorder="1" applyAlignment="1">
      <alignment horizontal="center" vertical="top" textRotation="90"/>
    </xf>
    <xf numFmtId="0" fontId="37" fillId="0" borderId="1" xfId="0" applyFont="1" applyBorder="1" applyAlignment="1">
      <alignment horizontal="center" vertical="center" textRotation="90"/>
    </xf>
    <xf numFmtId="187" fontId="37" fillId="0" borderId="1" xfId="0" applyNumberFormat="1" applyFont="1" applyBorder="1" applyAlignment="1">
      <alignment horizontal="center" vertical="center" textRotation="90"/>
    </xf>
    <xf numFmtId="17" fontId="37" fillId="0" borderId="1" xfId="0" applyNumberFormat="1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left" vertical="top" wrapText="1" indent="1"/>
    </xf>
    <xf numFmtId="0" fontId="37" fillId="7" borderId="3" xfId="0" applyFont="1" applyFill="1" applyBorder="1" applyAlignment="1">
      <alignment horizontal="left" vertical="top" wrapText="1"/>
    </xf>
    <xf numFmtId="0" fontId="37" fillId="7" borderId="21" xfId="0" applyFont="1" applyFill="1" applyBorder="1" applyAlignment="1">
      <alignment horizontal="left" vertical="top" wrapText="1"/>
    </xf>
    <xf numFmtId="0" fontId="37" fillId="7" borderId="9" xfId="0" applyFont="1" applyFill="1" applyBorder="1" applyAlignment="1">
      <alignment horizontal="left" vertical="top" wrapText="1"/>
    </xf>
    <xf numFmtId="0" fontId="37" fillId="0" borderId="5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top" wrapText="1"/>
    </xf>
    <xf numFmtId="0" fontId="37" fillId="0" borderId="7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43" fontId="17" fillId="0" borderId="5" xfId="20" applyFont="1" applyBorder="1" applyAlignment="1">
      <alignment horizontal="center" vertical="top" textRotation="90" wrapText="1"/>
    </xf>
    <xf numFmtId="43" fontId="17" fillId="0" borderId="7" xfId="20" applyFont="1" applyBorder="1" applyAlignment="1">
      <alignment horizontal="center" vertical="top" textRotation="90" wrapText="1"/>
    </xf>
    <xf numFmtId="0" fontId="39" fillId="7" borderId="3" xfId="0" applyFont="1" applyFill="1" applyBorder="1" applyAlignment="1">
      <alignment horizontal="left" vertical="top" wrapText="1"/>
    </xf>
    <xf numFmtId="0" fontId="39" fillId="7" borderId="21" xfId="0" applyFont="1" applyFill="1" applyBorder="1" applyAlignment="1">
      <alignment horizontal="left" vertical="top" wrapText="1"/>
    </xf>
    <xf numFmtId="0" fontId="39" fillId="7" borderId="9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 indent="1"/>
    </xf>
    <xf numFmtId="0" fontId="17" fillId="2" borderId="7" xfId="0" applyFont="1" applyFill="1" applyBorder="1" applyAlignment="1">
      <alignment horizontal="left" vertical="top" wrapText="1" indent="1"/>
    </xf>
    <xf numFmtId="0" fontId="17" fillId="2" borderId="6" xfId="0" applyFont="1" applyFill="1" applyBorder="1" applyAlignment="1">
      <alignment horizontal="left" vertical="top" wrapText="1" indent="1"/>
    </xf>
    <xf numFmtId="0" fontId="37" fillId="2" borderId="5" xfId="0" applyFont="1" applyFill="1" applyBorder="1" applyAlignment="1">
      <alignment horizontal="left" vertical="top" wrapText="1"/>
    </xf>
    <xf numFmtId="0" fontId="37" fillId="2" borderId="7" xfId="0" applyFont="1" applyFill="1" applyBorder="1" applyAlignment="1">
      <alignment horizontal="left" vertical="top" wrapText="1"/>
    </xf>
    <xf numFmtId="0" fontId="37" fillId="2" borderId="6" xfId="0" applyFont="1" applyFill="1" applyBorder="1" applyAlignment="1">
      <alignment horizontal="left" vertical="top" wrapText="1"/>
    </xf>
    <xf numFmtId="0" fontId="37" fillId="2" borderId="5" xfId="0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top" wrapText="1"/>
    </xf>
    <xf numFmtId="0" fontId="37" fillId="2" borderId="6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left" vertical="top" wrapText="1"/>
    </xf>
    <xf numFmtId="0" fontId="16" fillId="7" borderId="9" xfId="0" applyFont="1" applyFill="1" applyBorder="1" applyAlignment="1">
      <alignment horizontal="left" vertical="top" wrapText="1"/>
    </xf>
    <xf numFmtId="0" fontId="39" fillId="7" borderId="3" xfId="0" applyFont="1" applyFill="1" applyBorder="1" applyAlignment="1">
      <alignment horizontal="left" vertical="center" wrapText="1"/>
    </xf>
    <xf numFmtId="0" fontId="39" fillId="7" borderId="21" xfId="0" applyFont="1" applyFill="1" applyBorder="1" applyAlignment="1">
      <alignment horizontal="lef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7" fillId="8" borderId="3" xfId="0" applyFont="1" applyFill="1" applyBorder="1" applyAlignment="1">
      <alignment horizontal="left" vertical="top" wrapText="1"/>
    </xf>
    <xf numFmtId="0" fontId="37" fillId="8" borderId="21" xfId="0" applyFont="1" applyFill="1" applyBorder="1" applyAlignment="1">
      <alignment horizontal="left" vertical="top" wrapText="1"/>
    </xf>
    <xf numFmtId="0" fontId="37" fillId="8" borderId="9" xfId="0" applyFont="1" applyFill="1" applyBorder="1" applyAlignment="1">
      <alignment horizontal="left" vertical="top" wrapText="1"/>
    </xf>
    <xf numFmtId="3" fontId="37" fillId="0" borderId="7" xfId="0" applyNumberFormat="1" applyFont="1" applyBorder="1" applyAlignment="1">
      <alignment horizontal="center" vertical="center" textRotation="90"/>
    </xf>
    <xf numFmtId="3" fontId="37" fillId="0" borderId="6" xfId="0" applyNumberFormat="1" applyFont="1" applyBorder="1" applyAlignment="1">
      <alignment horizontal="center" vertical="center" textRotation="90"/>
    </xf>
    <xf numFmtId="0" fontId="37" fillId="0" borderId="5" xfId="0" applyFont="1" applyBorder="1" applyAlignment="1">
      <alignment horizontal="center" vertical="center" textRotation="90" wrapText="1"/>
    </xf>
    <xf numFmtId="0" fontId="37" fillId="0" borderId="7" xfId="0" applyFont="1" applyBorder="1" applyAlignment="1">
      <alignment horizontal="center" vertical="center" textRotation="90" wrapText="1"/>
    </xf>
    <xf numFmtId="0" fontId="37" fillId="0" borderId="6" xfId="0" applyFont="1" applyBorder="1" applyAlignment="1">
      <alignment horizontal="center" vertical="center" textRotation="90" wrapText="1"/>
    </xf>
    <xf numFmtId="0" fontId="37" fillId="7" borderId="3" xfId="0" applyFont="1" applyFill="1" applyBorder="1" applyAlignment="1">
      <alignment horizontal="left" vertical="top"/>
    </xf>
    <xf numFmtId="0" fontId="37" fillId="7" borderId="21" xfId="0" applyFont="1" applyFill="1" applyBorder="1" applyAlignment="1">
      <alignment horizontal="left" vertical="top"/>
    </xf>
    <xf numFmtId="0" fontId="37" fillId="7" borderId="9" xfId="0" applyFont="1" applyFill="1" applyBorder="1" applyAlignment="1">
      <alignment horizontal="left" vertical="top"/>
    </xf>
    <xf numFmtId="0" fontId="38" fillId="0" borderId="5" xfId="0" applyFont="1" applyBorder="1" applyAlignment="1">
      <alignment horizontal="left" vertical="top" wrapText="1" indent="1" readingOrder="1"/>
    </xf>
    <xf numFmtId="0" fontId="38" fillId="0" borderId="7" xfId="0" applyFont="1" applyBorder="1" applyAlignment="1">
      <alignment horizontal="left" vertical="top" wrapText="1" indent="1" readingOrder="1"/>
    </xf>
    <xf numFmtId="0" fontId="17" fillId="0" borderId="5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top" textRotation="90" wrapText="1"/>
    </xf>
    <xf numFmtId="0" fontId="17" fillId="0" borderId="7" xfId="0" applyFont="1" applyFill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horizontal="center" vertical="top" textRotation="90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38" fillId="0" borderId="6" xfId="0" applyFont="1" applyBorder="1" applyAlignment="1">
      <alignment horizontal="left" vertical="top" wrapText="1" indent="1" readingOrder="1"/>
    </xf>
    <xf numFmtId="0" fontId="39" fillId="7" borderId="3" xfId="0" applyFont="1" applyFill="1" applyBorder="1" applyAlignment="1">
      <alignment horizontal="left" vertical="top"/>
    </xf>
    <xf numFmtId="0" fontId="39" fillId="7" borderId="21" xfId="0" applyFont="1" applyFill="1" applyBorder="1" applyAlignment="1">
      <alignment horizontal="left" vertical="top"/>
    </xf>
    <xf numFmtId="0" fontId="39" fillId="7" borderId="9" xfId="0" applyFont="1" applyFill="1" applyBorder="1" applyAlignment="1">
      <alignment horizontal="left" vertical="top"/>
    </xf>
    <xf numFmtId="3" fontId="17" fillId="0" borderId="5" xfId="20" applyNumberFormat="1" applyFont="1" applyBorder="1" applyAlignment="1">
      <alignment horizontal="center" vertical="top" textRotation="90" wrapText="1"/>
    </xf>
    <xf numFmtId="0" fontId="17" fillId="0" borderId="7" xfId="20" applyNumberFormat="1" applyFont="1" applyBorder="1" applyAlignment="1">
      <alignment horizontal="center" vertical="top" textRotation="90" wrapText="1"/>
    </xf>
    <xf numFmtId="43" fontId="58" fillId="0" borderId="5" xfId="20" applyFont="1" applyBorder="1" applyAlignment="1">
      <alignment horizontal="center" vertical="top" textRotation="90" wrapText="1"/>
    </xf>
    <xf numFmtId="43" fontId="58" fillId="0" borderId="7" xfId="20" applyFont="1" applyBorder="1" applyAlignment="1">
      <alignment horizontal="center" vertical="top" textRotation="90" wrapText="1"/>
    </xf>
    <xf numFmtId="0" fontId="37" fillId="0" borderId="5" xfId="0" applyFont="1" applyFill="1" applyBorder="1" applyAlignment="1">
      <alignment horizontal="left" vertical="top" wrapText="1"/>
    </xf>
    <xf numFmtId="0" fontId="37" fillId="0" borderId="6" xfId="0" applyFont="1" applyFill="1" applyBorder="1" applyAlignment="1">
      <alignment horizontal="left" vertical="top" wrapText="1"/>
    </xf>
    <xf numFmtId="0" fontId="37" fillId="0" borderId="5" xfId="88" applyFont="1" applyFill="1" applyBorder="1" applyAlignment="1">
      <alignment horizontal="left" vertical="top" wrapText="1"/>
    </xf>
    <xf numFmtId="0" fontId="37" fillId="0" borderId="6" xfId="88" applyFont="1" applyFill="1" applyBorder="1" applyAlignment="1">
      <alignment horizontal="left" vertical="top" wrapText="1"/>
    </xf>
    <xf numFmtId="17" fontId="37" fillId="0" borderId="5" xfId="0" applyNumberFormat="1" applyFont="1" applyFill="1" applyBorder="1" applyAlignment="1">
      <alignment horizontal="center" vertical="center" textRotation="90" wrapText="1"/>
    </xf>
    <xf numFmtId="17" fontId="37" fillId="0" borderId="6" xfId="0" applyNumberFormat="1" applyFont="1" applyFill="1" applyBorder="1" applyAlignment="1">
      <alignment horizontal="center" vertical="center" textRotation="90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17" fontId="37" fillId="0" borderId="7" xfId="0" applyNumberFormat="1" applyFont="1" applyFill="1" applyBorder="1" applyAlignment="1">
      <alignment horizontal="center" vertical="center" textRotation="90" wrapText="1"/>
    </xf>
    <xf numFmtId="0" fontId="37" fillId="0" borderId="7" xfId="0" applyFont="1" applyFill="1" applyBorder="1" applyAlignment="1">
      <alignment horizontal="left" vertical="top" wrapText="1"/>
    </xf>
    <xf numFmtId="0" fontId="37" fillId="0" borderId="5" xfId="88" applyFont="1" applyFill="1" applyBorder="1" applyAlignment="1">
      <alignment horizontal="center" vertical="top" wrapText="1"/>
    </xf>
    <xf numFmtId="0" fontId="37" fillId="0" borderId="7" xfId="88" applyFont="1" applyFill="1" applyBorder="1" applyAlignment="1">
      <alignment horizontal="center" vertical="top" wrapText="1"/>
    </xf>
    <xf numFmtId="0" fontId="37" fillId="0" borderId="6" xfId="88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center" textRotation="90"/>
    </xf>
    <xf numFmtId="0" fontId="37" fillId="0" borderId="7" xfId="0" applyFont="1" applyFill="1" applyBorder="1" applyAlignment="1">
      <alignment horizontal="center" vertical="center" textRotation="90"/>
    </xf>
    <xf numFmtId="0" fontId="37" fillId="0" borderId="6" xfId="0" applyFont="1" applyFill="1" applyBorder="1" applyAlignment="1">
      <alignment horizontal="center" vertical="center" textRotation="90"/>
    </xf>
    <xf numFmtId="3" fontId="37" fillId="0" borderId="5" xfId="0" applyNumberFormat="1" applyFont="1" applyFill="1" applyBorder="1" applyAlignment="1">
      <alignment horizontal="center" vertical="center" textRotation="90"/>
    </xf>
    <xf numFmtId="0" fontId="37" fillId="0" borderId="7" xfId="88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6" fillId="7" borderId="5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 readingOrder="1"/>
    </xf>
    <xf numFmtId="0" fontId="17" fillId="0" borderId="7" xfId="0" applyFont="1" applyBorder="1" applyAlignment="1">
      <alignment horizontal="left" vertical="top" wrapText="1" readingOrder="1"/>
    </xf>
    <xf numFmtId="0" fontId="17" fillId="0" borderId="6" xfId="0" applyFont="1" applyBorder="1" applyAlignment="1">
      <alignment horizontal="left" vertical="top" wrapText="1" readingOrder="1"/>
    </xf>
    <xf numFmtId="0" fontId="17" fillId="0" borderId="5" xfId="0" applyFont="1" applyFill="1" applyBorder="1" applyAlignment="1">
      <alignment horizontal="center" vertical="top" textRotation="90"/>
    </xf>
    <xf numFmtId="0" fontId="17" fillId="0" borderId="7" xfId="0" applyFont="1" applyFill="1" applyBorder="1" applyAlignment="1">
      <alignment horizontal="center" vertical="top" textRotation="90"/>
    </xf>
    <xf numFmtId="0" fontId="17" fillId="0" borderId="6" xfId="0" applyFont="1" applyFill="1" applyBorder="1" applyAlignment="1">
      <alignment horizontal="center" vertical="top" textRotation="90"/>
    </xf>
    <xf numFmtId="0" fontId="39" fillId="0" borderId="2" xfId="0" applyFont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top" wrapText="1"/>
    </xf>
    <xf numFmtId="15" fontId="17" fillId="0" borderId="5" xfId="0" applyNumberFormat="1" applyFont="1" applyFill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textRotation="90" wrapText="1"/>
    </xf>
    <xf numFmtId="0" fontId="37" fillId="0" borderId="7" xfId="0" applyFont="1" applyBorder="1" applyAlignment="1">
      <alignment horizontal="center" vertical="top" textRotation="90" wrapText="1"/>
    </xf>
    <xf numFmtId="0" fontId="37" fillId="0" borderId="6" xfId="0" applyFont="1" applyBorder="1" applyAlignment="1">
      <alignment horizontal="center" vertical="top" textRotation="90" wrapText="1"/>
    </xf>
    <xf numFmtId="17" fontId="37" fillId="0" borderId="5" xfId="0" applyNumberFormat="1" applyFont="1" applyBorder="1" applyAlignment="1">
      <alignment horizontal="center" vertical="top" textRotation="90" wrapText="1"/>
    </xf>
    <xf numFmtId="0" fontId="37" fillId="0" borderId="5" xfId="0" applyFont="1" applyBorder="1" applyAlignment="1">
      <alignment horizontal="center" vertical="top" textRotation="90"/>
    </xf>
    <xf numFmtId="0" fontId="37" fillId="0" borderId="7" xfId="0" applyFont="1" applyBorder="1" applyAlignment="1">
      <alignment horizontal="center" vertical="top" textRotation="90"/>
    </xf>
    <xf numFmtId="0" fontId="37" fillId="0" borderId="6" xfId="0" applyFont="1" applyBorder="1" applyAlignment="1">
      <alignment horizontal="center" vertical="top" textRotation="90"/>
    </xf>
    <xf numFmtId="0" fontId="39" fillId="0" borderId="3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43" fontId="17" fillId="0" borderId="1" xfId="20" applyFont="1" applyBorder="1" applyAlignment="1">
      <alignment horizontal="center" vertical="top" textRotation="90" wrapText="1"/>
    </xf>
    <xf numFmtId="0" fontId="17" fillId="0" borderId="1" xfId="0" applyFont="1" applyBorder="1" applyAlignment="1">
      <alignment horizontal="left" vertical="top" wrapText="1" readingOrder="1"/>
    </xf>
    <xf numFmtId="0" fontId="17" fillId="0" borderId="1" xfId="0" applyFont="1" applyFill="1" applyBorder="1" applyAlignment="1">
      <alignment horizontal="center" vertical="top" textRotation="90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3" fontId="17" fillId="0" borderId="6" xfId="20" applyFont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horizontal="center" vertical="top" wrapText="1"/>
    </xf>
    <xf numFmtId="0" fontId="30" fillId="3" borderId="7" xfId="0" applyFont="1" applyFill="1" applyBorder="1" applyAlignment="1">
      <alignment horizontal="center" vertical="top"/>
    </xf>
    <xf numFmtId="0" fontId="30" fillId="3" borderId="6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left" vertical="top" wrapText="1"/>
    </xf>
    <xf numFmtId="0" fontId="9" fillId="12" borderId="16" xfId="0" applyFont="1" applyFill="1" applyBorder="1" applyAlignment="1">
      <alignment horizontal="left" vertical="top" wrapText="1"/>
    </xf>
    <xf numFmtId="0" fontId="9" fillId="12" borderId="8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left" vertical="top" wrapText="1"/>
    </xf>
    <xf numFmtId="0" fontId="9" fillId="12" borderId="7" xfId="0" applyFont="1" applyFill="1" applyBorder="1" applyAlignment="1">
      <alignment horizontal="left" vertical="top" wrapText="1"/>
    </xf>
    <xf numFmtId="0" fontId="9" fillId="12" borderId="6" xfId="0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center" vertical="center" textRotation="90" wrapText="1"/>
    </xf>
    <xf numFmtId="0" fontId="9" fillId="12" borderId="7" xfId="0" applyFont="1" applyFill="1" applyBorder="1" applyAlignment="1">
      <alignment horizontal="center" vertical="center" textRotation="90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9" fillId="12" borderId="5" xfId="20" applyNumberFormat="1" applyFont="1" applyFill="1" applyBorder="1" applyAlignment="1">
      <alignment horizontal="center" vertical="center" textRotation="90" wrapText="1"/>
    </xf>
    <xf numFmtId="0" fontId="9" fillId="12" borderId="7" xfId="20" applyNumberFormat="1" applyFont="1" applyFill="1" applyBorder="1" applyAlignment="1">
      <alignment horizontal="center" vertical="center" textRotation="90" wrapText="1"/>
    </xf>
    <xf numFmtId="3" fontId="9" fillId="12" borderId="5" xfId="20" applyNumberFormat="1" applyFont="1" applyFill="1" applyBorder="1" applyAlignment="1">
      <alignment horizontal="center" vertical="center" textRotation="90" wrapText="1"/>
    </xf>
    <xf numFmtId="0" fontId="30" fillId="12" borderId="5" xfId="0" applyFont="1" applyFill="1" applyBorder="1" applyAlignment="1">
      <alignment horizontal="center" vertical="top" wrapText="1"/>
    </xf>
    <xf numFmtId="0" fontId="30" fillId="12" borderId="7" xfId="0" applyFont="1" applyFill="1" applyBorder="1" applyAlignment="1">
      <alignment horizontal="center" vertical="top" wrapText="1"/>
    </xf>
    <xf numFmtId="0" fontId="30" fillId="12" borderId="6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textRotation="90"/>
    </xf>
    <xf numFmtId="0" fontId="30" fillId="0" borderId="7" xfId="0" applyFont="1" applyBorder="1" applyAlignment="1">
      <alignment horizontal="center" vertical="top" textRotation="90"/>
    </xf>
    <xf numFmtId="0" fontId="30" fillId="0" borderId="6" xfId="0" applyFont="1" applyBorder="1" applyAlignment="1">
      <alignment horizontal="center" vertical="top" textRotation="90"/>
    </xf>
    <xf numFmtId="0" fontId="30" fillId="0" borderId="7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top" textRotation="90"/>
    </xf>
    <xf numFmtId="0" fontId="30" fillId="3" borderId="7" xfId="0" applyFont="1" applyFill="1" applyBorder="1" applyAlignment="1">
      <alignment horizontal="center" vertical="top" textRotation="90"/>
    </xf>
    <xf numFmtId="0" fontId="30" fillId="3" borderId="6" xfId="0" applyFont="1" applyFill="1" applyBorder="1" applyAlignment="1">
      <alignment horizontal="center" vertical="top" textRotation="90"/>
    </xf>
    <xf numFmtId="17" fontId="30" fillId="3" borderId="5" xfId="0" applyNumberFormat="1" applyFont="1" applyFill="1" applyBorder="1" applyAlignment="1">
      <alignment horizontal="center" vertical="top"/>
    </xf>
    <xf numFmtId="0" fontId="30" fillId="3" borderId="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9" fillId="3" borderId="3" xfId="0" applyFont="1" applyFill="1" applyBorder="1" applyAlignment="1">
      <alignment horizontal="left" vertical="top" wrapText="1"/>
    </xf>
    <xf numFmtId="0" fontId="30" fillId="3" borderId="14" xfId="0" applyFont="1" applyFill="1" applyBorder="1" applyAlignment="1">
      <alignment horizontal="center" vertical="top" textRotation="90"/>
    </xf>
    <xf numFmtId="3" fontId="30" fillId="3" borderId="5" xfId="0" applyNumberFormat="1" applyFont="1" applyFill="1" applyBorder="1" applyAlignment="1">
      <alignment horizontal="center" vertical="center" textRotation="90"/>
    </xf>
    <xf numFmtId="0" fontId="30" fillId="3" borderId="7" xfId="0" applyFont="1" applyFill="1" applyBorder="1" applyAlignment="1">
      <alignment horizontal="center" vertical="center" textRotation="90"/>
    </xf>
    <xf numFmtId="0" fontId="30" fillId="3" borderId="6" xfId="0" applyFont="1" applyFill="1" applyBorder="1" applyAlignment="1">
      <alignment horizontal="center" vertical="center" textRotation="90"/>
    </xf>
    <xf numFmtId="0" fontId="30" fillId="3" borderId="5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top"/>
    </xf>
    <xf numFmtId="0" fontId="30" fillId="12" borderId="5" xfId="0" applyFont="1" applyFill="1" applyBorder="1" applyAlignment="1">
      <alignment horizontal="center"/>
    </xf>
    <xf numFmtId="0" fontId="30" fillId="12" borderId="7" xfId="0" applyFont="1" applyFill="1" applyBorder="1" applyAlignment="1">
      <alignment horizontal="center"/>
    </xf>
    <xf numFmtId="0" fontId="30" fillId="12" borderId="6" xfId="0" applyFont="1" applyFill="1" applyBorder="1" applyAlignment="1">
      <alignment horizontal="center"/>
    </xf>
    <xf numFmtId="3" fontId="30" fillId="0" borderId="5" xfId="0" applyNumberFormat="1" applyFont="1" applyBorder="1" applyAlignment="1">
      <alignment horizontal="center" vertical="center" textRotation="90"/>
    </xf>
    <xf numFmtId="3" fontId="30" fillId="0" borderId="7" xfId="0" applyNumberFormat="1" applyFont="1" applyBorder="1" applyAlignment="1">
      <alignment horizontal="center" vertical="center" textRotation="90"/>
    </xf>
    <xf numFmtId="17" fontId="30" fillId="0" borderId="5" xfId="0" applyNumberFormat="1" applyFont="1" applyBorder="1" applyAlignment="1">
      <alignment horizontal="center" vertical="top"/>
    </xf>
    <xf numFmtId="17" fontId="30" fillId="0" borderId="7" xfId="0" applyNumberFormat="1" applyFont="1" applyBorder="1" applyAlignment="1">
      <alignment horizontal="center" vertical="top"/>
    </xf>
    <xf numFmtId="17" fontId="30" fillId="0" borderId="6" xfId="0" applyNumberFormat="1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 textRotation="90" wrapText="1" readingOrder="1"/>
    </xf>
    <xf numFmtId="0" fontId="30" fillId="0" borderId="7" xfId="0" applyFont="1" applyBorder="1" applyAlignment="1">
      <alignment horizontal="center" vertical="top" textRotation="90" wrapText="1" readingOrder="1"/>
    </xf>
    <xf numFmtId="0" fontId="30" fillId="0" borderId="6" xfId="0" applyFont="1" applyBorder="1" applyAlignment="1">
      <alignment horizontal="center" vertical="top" textRotation="90" wrapText="1" readingOrder="1"/>
    </xf>
    <xf numFmtId="17" fontId="30" fillId="0" borderId="5" xfId="0" applyNumberFormat="1" applyFont="1" applyBorder="1" applyAlignment="1">
      <alignment horizontal="center" vertical="top" wrapText="1"/>
    </xf>
    <xf numFmtId="3" fontId="30" fillId="0" borderId="5" xfId="0" applyNumberFormat="1" applyFont="1" applyBorder="1" applyAlignment="1">
      <alignment horizontal="center" vertical="top" textRotation="90"/>
    </xf>
    <xf numFmtId="3" fontId="30" fillId="0" borderId="7" xfId="0" applyNumberFormat="1" applyFont="1" applyBorder="1" applyAlignment="1">
      <alignment horizontal="center" vertical="top" textRotation="90"/>
    </xf>
    <xf numFmtId="3" fontId="30" fillId="0" borderId="6" xfId="0" applyNumberFormat="1" applyFont="1" applyBorder="1" applyAlignment="1">
      <alignment horizontal="center" vertical="top" textRotation="90"/>
    </xf>
    <xf numFmtId="0" fontId="9" fillId="12" borderId="5" xfId="0" applyFont="1" applyFill="1" applyBorder="1" applyAlignment="1">
      <alignment horizontal="center" vertical="top" wrapText="1"/>
    </xf>
    <xf numFmtId="0" fontId="9" fillId="12" borderId="7" xfId="0" applyFont="1" applyFill="1" applyBorder="1" applyAlignment="1">
      <alignment horizontal="center" vertical="top" wrapText="1"/>
    </xf>
    <xf numFmtId="0" fontId="9" fillId="12" borderId="6" xfId="0" applyFont="1" applyFill="1" applyBorder="1" applyAlignment="1">
      <alignment horizontal="center" vertical="top" wrapText="1"/>
    </xf>
    <xf numFmtId="0" fontId="30" fillId="12" borderId="5" xfId="0" applyFont="1" applyFill="1" applyBorder="1" applyAlignment="1">
      <alignment horizontal="center" vertical="top" textRotation="90"/>
    </xf>
    <xf numFmtId="0" fontId="30" fillId="12" borderId="7" xfId="0" applyFont="1" applyFill="1" applyBorder="1" applyAlignment="1">
      <alignment horizontal="center" vertical="top" textRotation="90"/>
    </xf>
    <xf numFmtId="0" fontId="30" fillId="12" borderId="6" xfId="0" applyFont="1" applyFill="1" applyBorder="1" applyAlignment="1">
      <alignment horizontal="center" vertical="top" textRotation="90"/>
    </xf>
    <xf numFmtId="17" fontId="30" fillId="12" borderId="5" xfId="0" applyNumberFormat="1" applyFont="1" applyFill="1" applyBorder="1" applyAlignment="1">
      <alignment horizontal="center" vertical="top"/>
    </xf>
    <xf numFmtId="17" fontId="30" fillId="12" borderId="7" xfId="0" applyNumberFormat="1" applyFont="1" applyFill="1" applyBorder="1" applyAlignment="1">
      <alignment horizontal="center" vertical="top"/>
    </xf>
    <xf numFmtId="17" fontId="30" fillId="12" borderId="6" xfId="0" applyNumberFormat="1" applyFont="1" applyFill="1" applyBorder="1" applyAlignment="1">
      <alignment horizontal="center" vertical="top"/>
    </xf>
    <xf numFmtId="0" fontId="30" fillId="0" borderId="14" xfId="0" applyFont="1" applyBorder="1" applyAlignment="1">
      <alignment horizontal="center" vertical="top" textRotation="90" wrapText="1" readingOrder="1"/>
    </xf>
    <xf numFmtId="0" fontId="30" fillId="0" borderId="5" xfId="0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 vertical="center" textRotation="90"/>
    </xf>
    <xf numFmtId="0" fontId="30" fillId="12" borderId="5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3" fontId="30" fillId="12" borderId="5" xfId="0" applyNumberFormat="1" applyFont="1" applyFill="1" applyBorder="1" applyAlignment="1">
      <alignment horizontal="center" vertical="center" textRotation="90"/>
    </xf>
    <xf numFmtId="3" fontId="30" fillId="12" borderId="7" xfId="0" applyNumberFormat="1" applyFont="1" applyFill="1" applyBorder="1" applyAlignment="1">
      <alignment horizontal="center" vertical="center" textRotation="90"/>
    </xf>
    <xf numFmtId="3" fontId="30" fillId="12" borderId="6" xfId="0" applyNumberFormat="1" applyFont="1" applyFill="1" applyBorder="1" applyAlignment="1">
      <alignment horizontal="center" vertical="center" textRotation="90"/>
    </xf>
    <xf numFmtId="0" fontId="9" fillId="12" borderId="5" xfId="0" applyFont="1" applyFill="1" applyBorder="1" applyAlignment="1">
      <alignment horizontal="center" vertical="top" textRotation="90" wrapText="1"/>
    </xf>
    <xf numFmtId="0" fontId="9" fillId="12" borderId="7" xfId="0" applyFont="1" applyFill="1" applyBorder="1" applyAlignment="1">
      <alignment horizontal="center" vertical="top" textRotation="90" wrapText="1"/>
    </xf>
    <xf numFmtId="0" fontId="9" fillId="12" borderId="6" xfId="0" applyFont="1" applyFill="1" applyBorder="1" applyAlignment="1">
      <alignment horizontal="center" vertical="top" textRotation="90" wrapText="1"/>
    </xf>
    <xf numFmtId="17" fontId="30" fillId="12" borderId="5" xfId="0" applyNumberFormat="1" applyFont="1" applyFill="1" applyBorder="1" applyAlignment="1">
      <alignment horizontal="center" vertical="top" wrapText="1"/>
    </xf>
    <xf numFmtId="17" fontId="30" fillId="12" borderId="7" xfId="0" applyNumberFormat="1" applyFont="1" applyFill="1" applyBorder="1" applyAlignment="1">
      <alignment horizontal="center" vertical="top" wrapText="1"/>
    </xf>
    <xf numFmtId="17" fontId="30" fillId="12" borderId="6" xfId="0" applyNumberFormat="1" applyFont="1" applyFill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center" textRotation="90"/>
    </xf>
    <xf numFmtId="0" fontId="30" fillId="0" borderId="6" xfId="0" applyFont="1" applyBorder="1" applyAlignment="1">
      <alignment horizontal="center" vertical="center" textRotation="90"/>
    </xf>
    <xf numFmtId="0" fontId="30" fillId="12" borderId="5" xfId="0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center" vertical="center" wrapText="1"/>
    </xf>
    <xf numFmtId="0" fontId="30" fillId="12" borderId="6" xfId="0" applyFont="1" applyFill="1" applyBorder="1" applyAlignment="1">
      <alignment horizontal="center" vertical="center" wrapText="1"/>
    </xf>
    <xf numFmtId="17" fontId="30" fillId="3" borderId="7" xfId="0" applyNumberFormat="1" applyFont="1" applyFill="1" applyBorder="1" applyAlignment="1">
      <alignment horizontal="center" vertical="top"/>
    </xf>
    <xf numFmtId="0" fontId="30" fillId="0" borderId="7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30" fillId="3" borderId="7" xfId="0" applyFont="1" applyFill="1" applyBorder="1" applyAlignment="1">
      <alignment horizontal="center" vertical="top" wrapText="1"/>
    </xf>
    <xf numFmtId="0" fontId="30" fillId="3" borderId="6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30" fillId="3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44" fillId="7" borderId="3" xfId="0" applyFont="1" applyFill="1" applyBorder="1" applyAlignment="1">
      <alignment horizontal="left" vertical="center" wrapText="1"/>
    </xf>
    <xf numFmtId="0" fontId="44" fillId="7" borderId="21" xfId="0" applyFont="1" applyFill="1" applyBorder="1" applyAlignment="1">
      <alignment horizontal="left" vertical="center" wrapText="1"/>
    </xf>
    <xf numFmtId="0" fontId="44" fillId="7" borderId="9" xfId="0" applyFont="1" applyFill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9" xfId="0" applyFont="1" applyBorder="1" applyAlignment="1">
      <alignment horizontal="left" vertical="top" wrapText="1"/>
    </xf>
    <xf numFmtId="0" fontId="44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30" fillId="2" borderId="24" xfId="0" applyFont="1" applyFill="1" applyBorder="1" applyAlignment="1">
      <alignment horizontal="center" vertical="top" textRotation="90" wrapText="1"/>
    </xf>
    <xf numFmtId="0" fontId="30" fillId="2" borderId="25" xfId="0" applyFont="1" applyFill="1" applyBorder="1" applyAlignment="1">
      <alignment horizontal="center" vertical="top" textRotation="90" wrapText="1"/>
    </xf>
    <xf numFmtId="0" fontId="30" fillId="2" borderId="11" xfId="0" applyFont="1" applyFill="1" applyBorder="1" applyAlignment="1">
      <alignment horizontal="center" vertical="top" textRotation="90" wrapText="1"/>
    </xf>
    <xf numFmtId="0" fontId="30" fillId="2" borderId="24" xfId="0" applyFont="1" applyFill="1" applyBorder="1" applyAlignment="1">
      <alignment horizontal="center" vertical="top" wrapText="1"/>
    </xf>
    <xf numFmtId="0" fontId="30" fillId="2" borderId="25" xfId="0" applyFont="1" applyFill="1" applyBorder="1" applyAlignment="1">
      <alignment horizontal="center" vertical="top" wrapText="1"/>
    </xf>
    <xf numFmtId="0" fontId="30" fillId="2" borderId="11" xfId="0" applyFont="1" applyFill="1" applyBorder="1" applyAlignment="1">
      <alignment horizontal="center" vertical="top" wrapText="1"/>
    </xf>
    <xf numFmtId="190" fontId="30" fillId="2" borderId="24" xfId="0" applyNumberFormat="1" applyFont="1" applyFill="1" applyBorder="1" applyAlignment="1">
      <alignment horizontal="center" vertical="top" textRotation="90" wrapText="1"/>
    </xf>
    <xf numFmtId="190" fontId="30" fillId="2" borderId="25" xfId="0" applyNumberFormat="1" applyFont="1" applyFill="1" applyBorder="1" applyAlignment="1">
      <alignment horizontal="center" vertical="top" textRotation="90" wrapText="1"/>
    </xf>
    <xf numFmtId="190" fontId="30" fillId="2" borderId="11" xfId="0" applyNumberFormat="1" applyFont="1" applyFill="1" applyBorder="1" applyAlignment="1">
      <alignment horizontal="center" vertical="top" textRotation="90" wrapText="1"/>
    </xf>
    <xf numFmtId="3" fontId="30" fillId="2" borderId="24" xfId="0" applyNumberFormat="1" applyFont="1" applyFill="1" applyBorder="1" applyAlignment="1">
      <alignment horizontal="center" vertical="top" textRotation="90"/>
    </xf>
    <xf numFmtId="3" fontId="30" fillId="2" borderId="25" xfId="0" applyNumberFormat="1" applyFont="1" applyFill="1" applyBorder="1" applyAlignment="1">
      <alignment horizontal="center" vertical="top" textRotation="90"/>
    </xf>
    <xf numFmtId="3" fontId="30" fillId="2" borderId="11" xfId="0" applyNumberFormat="1" applyFont="1" applyFill="1" applyBorder="1" applyAlignment="1">
      <alignment horizontal="center" vertical="top" textRotation="90"/>
    </xf>
    <xf numFmtId="191" fontId="30" fillId="2" borderId="24" xfId="0" applyNumberFormat="1" applyFont="1" applyFill="1" applyBorder="1" applyAlignment="1">
      <alignment horizontal="center" vertical="top" textRotation="90" wrapText="1"/>
    </xf>
    <xf numFmtId="191" fontId="30" fillId="2" borderId="25" xfId="0" applyNumberFormat="1" applyFont="1" applyFill="1" applyBorder="1" applyAlignment="1">
      <alignment horizontal="center" vertical="top" textRotation="90" wrapText="1"/>
    </xf>
    <xf numFmtId="191" fontId="30" fillId="2" borderId="11" xfId="0" applyNumberFormat="1" applyFont="1" applyFill="1" applyBorder="1" applyAlignment="1">
      <alignment horizontal="center" vertical="top" textRotation="90" wrapText="1"/>
    </xf>
    <xf numFmtId="0" fontId="30" fillId="2" borderId="5" xfId="0" applyFont="1" applyFill="1" applyBorder="1" applyAlignment="1">
      <alignment horizontal="center" vertical="top" textRotation="90" wrapText="1"/>
    </xf>
    <xf numFmtId="0" fontId="30" fillId="2" borderId="7" xfId="0" applyFont="1" applyFill="1" applyBorder="1" applyAlignment="1">
      <alignment horizontal="center" vertical="top" textRotation="90" wrapText="1"/>
    </xf>
    <xf numFmtId="0" fontId="30" fillId="2" borderId="6" xfId="0" applyFont="1" applyFill="1" applyBorder="1" applyAlignment="1">
      <alignment horizontal="center" vertical="top" textRotation="90" wrapText="1"/>
    </xf>
    <xf numFmtId="15" fontId="30" fillId="2" borderId="5" xfId="0" applyNumberFormat="1" applyFont="1" applyFill="1" applyBorder="1" applyAlignment="1">
      <alignment horizontal="center" vertical="top" wrapText="1"/>
    </xf>
    <xf numFmtId="0" fontId="30" fillId="2" borderId="7" xfId="0" applyNumberFormat="1" applyFont="1" applyFill="1" applyBorder="1" applyAlignment="1">
      <alignment horizontal="center" vertical="top" wrapText="1"/>
    </xf>
    <xf numFmtId="43" fontId="30" fillId="2" borderId="5" xfId="20" applyFont="1" applyFill="1" applyBorder="1" applyAlignment="1">
      <alignment horizontal="center" vertical="top" textRotation="90" wrapText="1"/>
    </xf>
    <xf numFmtId="43" fontId="30" fillId="2" borderId="7" xfId="20" applyFont="1" applyFill="1" applyBorder="1" applyAlignment="1">
      <alignment horizontal="center" vertical="top" textRotation="90" wrapText="1"/>
    </xf>
    <xf numFmtId="43" fontId="30" fillId="2" borderId="6" xfId="20" applyFont="1" applyFill="1" applyBorder="1" applyAlignment="1">
      <alignment horizontal="center" vertical="top" textRotation="90" wrapText="1"/>
    </xf>
    <xf numFmtId="4" fontId="30" fillId="2" borderId="5" xfId="20" applyNumberFormat="1" applyFont="1" applyFill="1" applyBorder="1" applyAlignment="1">
      <alignment horizontal="center" vertical="top" textRotation="90" wrapText="1"/>
    </xf>
    <xf numFmtId="4" fontId="30" fillId="2" borderId="7" xfId="20" applyNumberFormat="1" applyFont="1" applyFill="1" applyBorder="1" applyAlignment="1">
      <alignment horizontal="center" vertical="top" textRotation="90" wrapText="1"/>
    </xf>
    <xf numFmtId="4" fontId="30" fillId="2" borderId="6" xfId="20" applyNumberFormat="1" applyFont="1" applyFill="1" applyBorder="1" applyAlignment="1">
      <alignment horizontal="center" vertical="top" textRotation="90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9" fillId="0" borderId="11" xfId="0" applyFont="1" applyBorder="1"/>
    <xf numFmtId="0" fontId="44" fillId="0" borderId="3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top" wrapText="1"/>
    </xf>
    <xf numFmtId="0" fontId="44" fillId="0" borderId="2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0" xfId="0" applyFont="1" applyBorder="1"/>
    <xf numFmtId="0" fontId="9" fillId="0" borderId="27" xfId="0" applyFont="1" applyBorder="1" applyAlignment="1">
      <alignment horizontal="left" vertical="top" wrapText="1"/>
    </xf>
    <xf numFmtId="0" fontId="9" fillId="0" borderId="25" xfId="0" applyFont="1" applyBorder="1"/>
    <xf numFmtId="192" fontId="30" fillId="2" borderId="24" xfId="0" applyNumberFormat="1" applyFont="1" applyFill="1" applyBorder="1" applyAlignment="1">
      <alignment horizontal="center" vertical="top" wrapText="1"/>
    </xf>
    <xf numFmtId="192" fontId="30" fillId="2" borderId="11" xfId="0" applyNumberFormat="1" applyFont="1" applyFill="1" applyBorder="1" applyAlignment="1">
      <alignment horizontal="center" vertical="top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 readingOrder="1"/>
    </xf>
    <xf numFmtId="0" fontId="17" fillId="0" borderId="7" xfId="0" applyFont="1" applyBorder="1" applyAlignment="1">
      <alignment horizontal="center" vertical="top" wrapText="1" readingOrder="1"/>
    </xf>
    <xf numFmtId="0" fontId="17" fillId="0" borderId="6" xfId="0" applyFont="1" applyBorder="1" applyAlignment="1">
      <alignment horizontal="center" vertical="top" wrapText="1" readingOrder="1"/>
    </xf>
    <xf numFmtId="3" fontId="17" fillId="2" borderId="5" xfId="20" applyNumberFormat="1" applyFont="1" applyFill="1" applyBorder="1" applyAlignment="1">
      <alignment horizontal="center" vertical="top" wrapText="1" readingOrder="1"/>
    </xf>
    <xf numFmtId="3" fontId="17" fillId="2" borderId="7" xfId="20" applyNumberFormat="1" applyFont="1" applyFill="1" applyBorder="1" applyAlignment="1">
      <alignment horizontal="center" vertical="top" wrapText="1" readingOrder="1"/>
    </xf>
    <xf numFmtId="3" fontId="17" fillId="2" borderId="6" xfId="20" applyNumberFormat="1" applyFont="1" applyFill="1" applyBorder="1" applyAlignment="1">
      <alignment horizontal="center" vertical="top" wrapText="1" readingOrder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2" borderId="5" xfId="18" applyFont="1" applyFill="1" applyBorder="1" applyAlignment="1">
      <alignment vertical="top" wrapText="1"/>
    </xf>
    <xf numFmtId="0" fontId="17" fillId="2" borderId="6" xfId="18" applyFont="1" applyFill="1" applyBorder="1" applyAlignment="1">
      <alignment vertical="top" wrapText="1"/>
    </xf>
    <xf numFmtId="3" fontId="17" fillId="2" borderId="5" xfId="18" applyNumberFormat="1" applyFont="1" applyFill="1" applyBorder="1" applyAlignment="1">
      <alignment horizontal="center" vertical="center"/>
    </xf>
    <xf numFmtId="3" fontId="17" fillId="2" borderId="6" xfId="18" applyNumberFormat="1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top" wrapText="1" readingOrder="1"/>
    </xf>
    <xf numFmtId="0" fontId="17" fillId="7" borderId="7" xfId="0" applyFont="1" applyFill="1" applyBorder="1" applyAlignment="1">
      <alignment horizontal="center" vertical="top" wrapText="1" readingOrder="1"/>
    </xf>
    <xf numFmtId="0" fontId="17" fillId="7" borderId="6" xfId="0" applyFont="1" applyFill="1" applyBorder="1" applyAlignment="1">
      <alignment horizontal="center" vertical="top" wrapText="1" readingOrder="1"/>
    </xf>
    <xf numFmtId="187" fontId="17" fillId="0" borderId="5" xfId="20" applyNumberFormat="1" applyFont="1" applyBorder="1" applyAlignment="1">
      <alignment horizontal="center" vertical="top" textRotation="90" wrapText="1"/>
    </xf>
    <xf numFmtId="187" fontId="17" fillId="0" borderId="7" xfId="20" applyNumberFormat="1" applyFont="1" applyBorder="1" applyAlignment="1">
      <alignment horizontal="center" vertical="top" textRotation="90" wrapText="1"/>
    </xf>
    <xf numFmtId="187" fontId="17" fillId="0" borderId="6" xfId="20" applyNumberFormat="1" applyFont="1" applyBorder="1" applyAlignment="1">
      <alignment horizontal="center" vertical="top" textRotation="90" wrapText="1"/>
    </xf>
    <xf numFmtId="0" fontId="17" fillId="0" borderId="7" xfId="0" applyFont="1" applyBorder="1" applyAlignment="1">
      <alignment horizontal="center"/>
    </xf>
    <xf numFmtId="49" fontId="17" fillId="7" borderId="5" xfId="20" applyNumberFormat="1" applyFont="1" applyFill="1" applyBorder="1" applyAlignment="1">
      <alignment horizontal="center" vertical="top" wrapText="1" readingOrder="1"/>
    </xf>
    <xf numFmtId="49" fontId="17" fillId="7" borderId="7" xfId="20" applyNumberFormat="1" applyFont="1" applyFill="1" applyBorder="1" applyAlignment="1">
      <alignment horizontal="center" vertical="top" wrapText="1" readingOrder="1"/>
    </xf>
    <xf numFmtId="49" fontId="17" fillId="7" borderId="6" xfId="20" applyNumberFormat="1" applyFont="1" applyFill="1" applyBorder="1" applyAlignment="1">
      <alignment horizontal="center" vertical="top" wrapText="1" readingOrder="1"/>
    </xf>
    <xf numFmtId="3" fontId="17" fillId="7" borderId="5" xfId="20" applyNumberFormat="1" applyFont="1" applyFill="1" applyBorder="1" applyAlignment="1">
      <alignment horizontal="center" vertical="top" wrapText="1" readingOrder="1"/>
    </xf>
    <xf numFmtId="3" fontId="17" fillId="7" borderId="7" xfId="20" applyNumberFormat="1" applyFont="1" applyFill="1" applyBorder="1" applyAlignment="1">
      <alignment horizontal="center" vertical="top" wrapText="1" readingOrder="1"/>
    </xf>
    <xf numFmtId="3" fontId="17" fillId="7" borderId="6" xfId="20" applyNumberFormat="1" applyFont="1" applyFill="1" applyBorder="1" applyAlignment="1">
      <alignment horizontal="center" vertical="top" wrapText="1" readingOrder="1"/>
    </xf>
    <xf numFmtId="0" fontId="17" fillId="0" borderId="5" xfId="0" applyFont="1" applyBorder="1" applyAlignment="1">
      <alignment vertical="top" wrapText="1" readingOrder="1"/>
    </xf>
    <xf numFmtId="0" fontId="17" fillId="0" borderId="7" xfId="0" applyFont="1" applyBorder="1" applyAlignment="1">
      <alignment vertical="top" wrapText="1" readingOrder="1"/>
    </xf>
    <xf numFmtId="0" fontId="17" fillId="0" borderId="6" xfId="0" applyFont="1" applyBorder="1" applyAlignment="1">
      <alignment vertical="top" wrapText="1" readingOrder="1"/>
    </xf>
    <xf numFmtId="0" fontId="39" fillId="7" borderId="1" xfId="0" applyNumberFormat="1" applyFont="1" applyFill="1" applyBorder="1" applyAlignment="1">
      <alignment horizontal="center" vertical="center" wrapText="1"/>
    </xf>
    <xf numFmtId="0" fontId="37" fillId="2" borderId="5" xfId="0" applyNumberFormat="1" applyFont="1" applyFill="1" applyBorder="1" applyAlignment="1">
      <alignment horizontal="center" vertical="center" textRotation="90" wrapText="1"/>
    </xf>
    <xf numFmtId="0" fontId="37" fillId="2" borderId="7" xfId="0" applyNumberFormat="1" applyFont="1" applyFill="1" applyBorder="1" applyAlignment="1">
      <alignment horizontal="center" vertical="center" textRotation="90" wrapText="1"/>
    </xf>
    <xf numFmtId="0" fontId="37" fillId="2" borderId="6" xfId="0" applyNumberFormat="1" applyFont="1" applyFill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horizontal="center" vertical="top" wrapText="1"/>
    </xf>
    <xf numFmtId="0" fontId="39" fillId="2" borderId="5" xfId="0" applyNumberFormat="1" applyFont="1" applyFill="1" applyBorder="1" applyAlignment="1">
      <alignment horizontal="center" vertical="center" wrapText="1"/>
    </xf>
    <xf numFmtId="0" fontId="39" fillId="2" borderId="7" xfId="0" applyNumberFormat="1" applyFont="1" applyFill="1" applyBorder="1" applyAlignment="1">
      <alignment horizontal="center" vertical="center" wrapText="1"/>
    </xf>
    <xf numFmtId="0" fontId="39" fillId="2" borderId="6" xfId="0" applyNumberFormat="1" applyFont="1" applyFill="1" applyBorder="1" applyAlignment="1">
      <alignment horizontal="center" vertical="center" wrapText="1"/>
    </xf>
    <xf numFmtId="3" fontId="44" fillId="2" borderId="5" xfId="0" applyNumberFormat="1" applyFont="1" applyFill="1" applyBorder="1" applyAlignment="1">
      <alignment horizontal="center" vertical="center" textRotation="90" wrapText="1"/>
    </xf>
    <xf numFmtId="0" fontId="44" fillId="2" borderId="7" xfId="0" applyNumberFormat="1" applyFont="1" applyFill="1" applyBorder="1" applyAlignment="1">
      <alignment horizontal="center" vertical="center" textRotation="90" wrapText="1"/>
    </xf>
    <xf numFmtId="0" fontId="44" fillId="2" borderId="6" xfId="0" applyNumberFormat="1" applyFont="1" applyFill="1" applyBorder="1" applyAlignment="1">
      <alignment horizontal="center" vertical="center" textRotation="90" wrapText="1"/>
    </xf>
    <xf numFmtId="0" fontId="44" fillId="7" borderId="1" xfId="0" applyNumberFormat="1" applyFont="1" applyFill="1" applyBorder="1" applyAlignment="1">
      <alignment horizontal="center" vertical="center" wrapText="1"/>
    </xf>
    <xf numFmtId="0" fontId="39" fillId="7" borderId="5" xfId="0" applyNumberFormat="1" applyFont="1" applyFill="1" applyBorder="1" applyAlignment="1">
      <alignment horizontal="center" vertical="center" wrapText="1"/>
    </xf>
    <xf numFmtId="0" fontId="39" fillId="7" borderId="7" xfId="0" applyNumberFormat="1" applyFont="1" applyFill="1" applyBorder="1" applyAlignment="1">
      <alignment horizontal="center" vertical="center" wrapText="1"/>
    </xf>
    <xf numFmtId="0" fontId="39" fillId="7" borderId="6" xfId="0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 vertical="top" wrapText="1"/>
    </xf>
    <xf numFmtId="0" fontId="39" fillId="2" borderId="5" xfId="0" applyFont="1" applyFill="1" applyBorder="1" applyAlignment="1">
      <alignment vertical="center" textRotation="90" wrapText="1"/>
    </xf>
    <xf numFmtId="0" fontId="39" fillId="2" borderId="7" xfId="0" applyFont="1" applyFill="1" applyBorder="1" applyAlignment="1">
      <alignment vertical="center" textRotation="90" wrapText="1"/>
    </xf>
    <xf numFmtId="0" fontId="39" fillId="2" borderId="6" xfId="0" applyFont="1" applyFill="1" applyBorder="1" applyAlignment="1">
      <alignment vertical="center" textRotation="90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3" fontId="11" fillId="0" borderId="5" xfId="20" applyNumberFormat="1" applyFont="1" applyBorder="1" applyAlignment="1">
      <alignment horizontal="center" vertical="center" textRotation="90" wrapText="1"/>
    </xf>
    <xf numFmtId="0" fontId="11" fillId="0" borderId="7" xfId="20" applyNumberFormat="1" applyFont="1" applyBorder="1" applyAlignment="1">
      <alignment horizontal="center" vertical="center" textRotation="90" wrapText="1"/>
    </xf>
    <xf numFmtId="0" fontId="11" fillId="0" borderId="6" xfId="20" applyNumberFormat="1" applyFont="1" applyBorder="1" applyAlignment="1">
      <alignment horizontal="center" vertical="center" textRotation="90" wrapText="1"/>
    </xf>
    <xf numFmtId="3" fontId="9" fillId="0" borderId="5" xfId="20" applyNumberFormat="1" applyFont="1" applyBorder="1" applyAlignment="1">
      <alignment horizontal="center" vertical="center" textRotation="90"/>
    </xf>
    <xf numFmtId="3" fontId="9" fillId="0" borderId="6" xfId="20" applyNumberFormat="1" applyFont="1" applyBorder="1" applyAlignment="1">
      <alignment horizontal="center" vertical="center" textRotation="90"/>
    </xf>
    <xf numFmtId="0" fontId="30" fillId="0" borderId="5" xfId="0" applyNumberFormat="1" applyFont="1" applyFill="1" applyBorder="1" applyAlignment="1">
      <alignment horizontal="center" vertical="center" textRotation="90" wrapText="1"/>
    </xf>
    <xf numFmtId="0" fontId="30" fillId="0" borderId="7" xfId="0" applyNumberFormat="1" applyFont="1" applyFill="1" applyBorder="1" applyAlignment="1">
      <alignment horizontal="center" vertical="center" textRotation="90" wrapText="1"/>
    </xf>
    <xf numFmtId="0" fontId="30" fillId="0" borderId="6" xfId="0" applyNumberFormat="1" applyFont="1" applyFill="1" applyBorder="1" applyAlignment="1">
      <alignment horizontal="center" vertical="center" textRotation="90" wrapText="1"/>
    </xf>
    <xf numFmtId="0" fontId="11" fillId="7" borderId="21" xfId="0" applyFont="1" applyFill="1" applyBorder="1" applyAlignment="1">
      <alignment horizontal="center" vertical="top" wrapText="1"/>
    </xf>
    <xf numFmtId="0" fontId="11" fillId="7" borderId="9" xfId="0" applyFont="1" applyFill="1" applyBorder="1" applyAlignment="1">
      <alignment horizontal="center" vertical="top" wrapText="1"/>
    </xf>
    <xf numFmtId="3" fontId="9" fillId="0" borderId="7" xfId="20" applyNumberFormat="1" applyFont="1" applyBorder="1" applyAlignment="1">
      <alignment horizontal="center" vertical="center" textRotation="90"/>
    </xf>
    <xf numFmtId="0" fontId="11" fillId="7" borderId="3" xfId="0" applyFont="1" applyFill="1" applyBorder="1" applyAlignment="1">
      <alignment horizontal="center" vertical="top" wrapText="1"/>
    </xf>
    <xf numFmtId="0" fontId="44" fillId="7" borderId="1" xfId="0" applyFont="1" applyFill="1" applyBorder="1" applyAlignment="1">
      <alignment horizontal="center" vertical="top" wrapText="1"/>
    </xf>
    <xf numFmtId="3" fontId="9" fillId="0" borderId="5" xfId="20" applyNumberFormat="1" applyFont="1" applyBorder="1" applyAlignment="1">
      <alignment horizontal="center" vertical="center" textRotation="90" wrapText="1"/>
    </xf>
    <xf numFmtId="0" fontId="9" fillId="0" borderId="7" xfId="20" applyNumberFormat="1" applyFont="1" applyBorder="1" applyAlignment="1">
      <alignment horizontal="center" vertical="center" textRotation="90" wrapText="1"/>
    </xf>
    <xf numFmtId="0" fontId="30" fillId="0" borderId="5" xfId="88" applyFont="1" applyBorder="1" applyAlignment="1">
      <alignment horizontal="center" vertical="top"/>
    </xf>
    <xf numFmtId="0" fontId="30" fillId="0" borderId="7" xfId="88" applyFont="1" applyBorder="1" applyAlignment="1">
      <alignment horizontal="center" vertical="top"/>
    </xf>
    <xf numFmtId="0" fontId="30" fillId="0" borderId="6" xfId="88" applyFont="1" applyBorder="1" applyAlignment="1">
      <alignment horizontal="center" vertical="top"/>
    </xf>
    <xf numFmtId="0" fontId="30" fillId="0" borderId="1" xfId="88" applyFont="1" applyBorder="1" applyAlignment="1">
      <alignment horizontal="left" vertical="top" wrapText="1"/>
    </xf>
    <xf numFmtId="0" fontId="30" fillId="0" borderId="5" xfId="88" applyFont="1" applyBorder="1" applyAlignment="1">
      <alignment horizontal="left" vertical="top"/>
    </xf>
    <xf numFmtId="0" fontId="30" fillId="0" borderId="7" xfId="88" applyFont="1" applyBorder="1" applyAlignment="1">
      <alignment horizontal="left" vertical="top"/>
    </xf>
    <xf numFmtId="0" fontId="44" fillId="7" borderId="3" xfId="0" applyFont="1" applyFill="1" applyBorder="1" applyAlignment="1">
      <alignment horizontal="center" vertical="top" wrapText="1"/>
    </xf>
    <xf numFmtId="0" fontId="44" fillId="7" borderId="21" xfId="0" applyFont="1" applyFill="1" applyBorder="1" applyAlignment="1">
      <alignment horizontal="center" vertical="top" wrapText="1"/>
    </xf>
    <xf numFmtId="0" fontId="44" fillId="7" borderId="9" xfId="0" applyFont="1" applyFill="1" applyBorder="1" applyAlignment="1">
      <alignment horizontal="center" vertical="top" wrapText="1"/>
    </xf>
    <xf numFmtId="0" fontId="44" fillId="2" borderId="5" xfId="0" applyFont="1" applyFill="1" applyBorder="1" applyAlignment="1">
      <alignment horizontal="left" vertical="top" wrapText="1"/>
    </xf>
    <xf numFmtId="0" fontId="44" fillId="2" borderId="6" xfId="0" applyFont="1" applyFill="1" applyBorder="1" applyAlignment="1">
      <alignment horizontal="left" vertical="top" wrapText="1"/>
    </xf>
    <xf numFmtId="0" fontId="44" fillId="7" borderId="8" xfId="0" applyFont="1" applyFill="1" applyBorder="1" applyAlignment="1">
      <alignment horizontal="center" vertical="top" wrapText="1"/>
    </xf>
    <xf numFmtId="0" fontId="44" fillId="7" borderId="2" xfId="0" applyFont="1" applyFill="1" applyBorder="1" applyAlignment="1">
      <alignment horizontal="center" vertical="top" wrapText="1"/>
    </xf>
    <xf numFmtId="0" fontId="9" fillId="0" borderId="6" xfId="20" applyNumberFormat="1" applyFont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187" fontId="11" fillId="7" borderId="1" xfId="20" applyNumberFormat="1" applyFont="1" applyFill="1" applyBorder="1" applyAlignment="1">
      <alignment horizontal="center" vertical="center" wrapText="1"/>
    </xf>
    <xf numFmtId="187" fontId="9" fillId="0" borderId="5" xfId="20" applyNumberFormat="1" applyFont="1" applyBorder="1" applyAlignment="1">
      <alignment horizontal="center" vertical="top" textRotation="90" wrapText="1"/>
    </xf>
    <xf numFmtId="187" fontId="9" fillId="0" borderId="7" xfId="20" applyNumberFormat="1" applyFont="1" applyBorder="1" applyAlignment="1">
      <alignment horizontal="center" vertical="top" textRotation="90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87" fontId="9" fillId="0" borderId="6" xfId="20" applyNumberFormat="1" applyFont="1" applyBorder="1" applyAlignment="1">
      <alignment horizontal="center" vertical="top" textRotation="90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top" wrapText="1"/>
    </xf>
    <xf numFmtId="0" fontId="11" fillId="9" borderId="21" xfId="0" applyFont="1" applyFill="1" applyBorder="1" applyAlignment="1">
      <alignment horizontal="left" vertical="top" wrapText="1"/>
    </xf>
    <xf numFmtId="0" fontId="11" fillId="9" borderId="9" xfId="0" applyFont="1" applyFill="1" applyBorder="1" applyAlignment="1">
      <alignment horizontal="left" vertical="top" wrapText="1"/>
    </xf>
    <xf numFmtId="187" fontId="9" fillId="0" borderId="5" xfId="20" applyNumberFormat="1" applyFont="1" applyBorder="1" applyAlignment="1">
      <alignment horizontal="center" vertical="top" textRotation="90" wrapText="1" readingOrder="1"/>
    </xf>
    <xf numFmtId="187" fontId="9" fillId="0" borderId="7" xfId="20" applyNumberFormat="1" applyFont="1" applyBorder="1" applyAlignment="1">
      <alignment horizontal="center" vertical="top" textRotation="90" wrapText="1" readingOrder="1"/>
    </xf>
    <xf numFmtId="0" fontId="9" fillId="4" borderId="5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center" vertical="top" textRotation="90" wrapText="1"/>
    </xf>
    <xf numFmtId="0" fontId="9" fillId="4" borderId="7" xfId="0" applyFont="1" applyFill="1" applyBorder="1" applyAlignment="1">
      <alignment horizontal="center" vertical="top" textRotation="90" wrapText="1"/>
    </xf>
    <xf numFmtId="15" fontId="9" fillId="4" borderId="5" xfId="0" applyNumberFormat="1" applyFont="1" applyFill="1" applyBorder="1" applyAlignment="1">
      <alignment horizontal="center" vertical="top" wrapText="1"/>
    </xf>
    <xf numFmtId="187" fontId="9" fillId="4" borderId="5" xfId="20" applyNumberFormat="1" applyFont="1" applyFill="1" applyBorder="1" applyAlignment="1">
      <alignment horizontal="center" vertical="top" textRotation="90" wrapText="1"/>
    </xf>
    <xf numFmtId="187" fontId="9" fillId="4" borderId="7" xfId="20" applyNumberFormat="1" applyFont="1" applyFill="1" applyBorder="1" applyAlignment="1">
      <alignment horizontal="center" vertical="top" textRotation="90" wrapText="1"/>
    </xf>
    <xf numFmtId="1" fontId="9" fillId="0" borderId="5" xfId="0" applyNumberFormat="1" applyFont="1" applyFill="1" applyBorder="1" applyAlignment="1">
      <alignment horizontal="left" vertical="top" wrapText="1"/>
    </xf>
    <xf numFmtId="1" fontId="9" fillId="0" borderId="6" xfId="0" applyNumberFormat="1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>
      <alignment horizontal="left" vertical="top" wrapText="1"/>
    </xf>
    <xf numFmtId="17" fontId="9" fillId="0" borderId="5" xfId="0" applyNumberFormat="1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top"/>
    </xf>
    <xf numFmtId="0" fontId="11" fillId="9" borderId="21" xfId="0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center"/>
    </xf>
    <xf numFmtId="187" fontId="11" fillId="9" borderId="1" xfId="20" applyNumberFormat="1" applyFont="1" applyFill="1" applyBorder="1" applyAlignment="1">
      <alignment horizontal="center"/>
    </xf>
    <xf numFmtId="17" fontId="9" fillId="4" borderId="5" xfId="0" applyNumberFormat="1" applyFont="1" applyFill="1" applyBorder="1" applyAlignment="1">
      <alignment horizontal="left" vertical="top" wrapText="1"/>
    </xf>
    <xf numFmtId="187" fontId="9" fillId="4" borderId="5" xfId="20" applyNumberFormat="1" applyFont="1" applyFill="1" applyBorder="1" applyAlignment="1">
      <alignment horizontal="center" vertical="top" textRotation="90" wrapText="1" readingOrder="1"/>
    </xf>
    <xf numFmtId="187" fontId="9" fillId="4" borderId="7" xfId="20" applyNumberFormat="1" applyFont="1" applyFill="1" applyBorder="1" applyAlignment="1">
      <alignment horizontal="center" vertical="top" textRotation="90" wrapText="1" readingOrder="1"/>
    </xf>
    <xf numFmtId="187" fontId="9" fillId="4" borderId="5" xfId="20" applyNumberFormat="1" applyFont="1" applyFill="1" applyBorder="1" applyAlignment="1">
      <alignment horizontal="left" vertical="top" wrapText="1"/>
    </xf>
    <xf numFmtId="187" fontId="9" fillId="4" borderId="7" xfId="20" applyNumberFormat="1" applyFont="1" applyFill="1" applyBorder="1" applyAlignment="1">
      <alignment horizontal="left" vertical="top" wrapText="1"/>
    </xf>
    <xf numFmtId="187" fontId="9" fillId="4" borderId="6" xfId="20" applyNumberFormat="1" applyFont="1" applyFill="1" applyBorder="1" applyAlignment="1">
      <alignment horizontal="left" vertical="top" wrapText="1"/>
    </xf>
    <xf numFmtId="187" fontId="9" fillId="4" borderId="16" xfId="20" applyNumberFormat="1" applyFont="1" applyFill="1" applyBorder="1" applyAlignment="1">
      <alignment horizontal="left" vertical="top" wrapText="1"/>
    </xf>
    <xf numFmtId="187" fontId="9" fillId="0" borderId="5" xfId="20" applyNumberFormat="1" applyFont="1" applyFill="1" applyBorder="1" applyAlignment="1">
      <alignment horizontal="left" vertical="top" wrapText="1"/>
    </xf>
    <xf numFmtId="187" fontId="9" fillId="0" borderId="7" xfId="20" applyNumberFormat="1" applyFont="1" applyFill="1" applyBorder="1" applyAlignment="1">
      <alignment horizontal="left" vertical="top" wrapText="1"/>
    </xf>
    <xf numFmtId="187" fontId="9" fillId="0" borderId="6" xfId="20" applyNumberFormat="1" applyFont="1" applyFill="1" applyBorder="1" applyAlignment="1">
      <alignment horizontal="left" vertical="top" wrapText="1"/>
    </xf>
    <xf numFmtId="187" fontId="9" fillId="2" borderId="5" xfId="20" applyNumberFormat="1" applyFont="1" applyFill="1" applyBorder="1" applyAlignment="1">
      <alignment horizontal="left" vertical="top" wrapText="1"/>
    </xf>
    <xf numFmtId="187" fontId="9" fillId="2" borderId="7" xfId="20" applyNumberFormat="1" applyFont="1" applyFill="1" applyBorder="1" applyAlignment="1">
      <alignment horizontal="left" vertical="top" wrapText="1"/>
    </xf>
    <xf numFmtId="187" fontId="9" fillId="0" borderId="15" xfId="20" applyNumberFormat="1" applyFont="1" applyFill="1" applyBorder="1" applyAlignment="1">
      <alignment horizontal="left" vertical="top" wrapText="1"/>
    </xf>
    <xf numFmtId="187" fontId="9" fillId="0" borderId="16" xfId="20" applyNumberFormat="1" applyFont="1" applyFill="1" applyBorder="1" applyAlignment="1">
      <alignment horizontal="left" vertical="top" wrapText="1"/>
    </xf>
    <xf numFmtId="0" fontId="11" fillId="9" borderId="9" xfId="0" applyFont="1" applyFill="1" applyBorder="1" applyAlignment="1">
      <alignment horizontal="left" vertical="top"/>
    </xf>
    <xf numFmtId="187" fontId="9" fillId="9" borderId="5" xfId="20" applyNumberFormat="1" applyFont="1" applyFill="1" applyBorder="1" applyAlignment="1">
      <alignment horizontal="center" vertical="top" textRotation="90" wrapText="1" readingOrder="1"/>
    </xf>
    <xf numFmtId="187" fontId="9" fillId="9" borderId="7" xfId="20" applyNumberFormat="1" applyFont="1" applyFill="1" applyBorder="1" applyAlignment="1">
      <alignment horizontal="center" vertical="top" textRotation="90" wrapText="1" readingOrder="1"/>
    </xf>
    <xf numFmtId="17" fontId="9" fillId="0" borderId="5" xfId="20" applyNumberFormat="1" applyFont="1" applyFill="1" applyBorder="1" applyAlignment="1">
      <alignment horizontal="center" vertical="top" wrapText="1"/>
    </xf>
    <xf numFmtId="0" fontId="9" fillId="0" borderId="7" xfId="20" applyNumberFormat="1" applyFont="1" applyFill="1" applyBorder="1" applyAlignment="1">
      <alignment horizontal="center" vertical="top" wrapText="1"/>
    </xf>
    <xf numFmtId="187" fontId="9" fillId="2" borderId="14" xfId="20" applyNumberFormat="1" applyFont="1" applyFill="1" applyBorder="1" applyAlignment="1">
      <alignment horizontal="left" vertical="top" wrapText="1"/>
    </xf>
    <xf numFmtId="17" fontId="9" fillId="0" borderId="7" xfId="20" applyNumberFormat="1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187" fontId="9" fillId="4" borderId="5" xfId="20" applyNumberFormat="1" applyFont="1" applyFill="1" applyBorder="1" applyAlignment="1">
      <alignment horizontal="left" vertical="top" textRotation="90" wrapText="1"/>
    </xf>
    <xf numFmtId="187" fontId="9" fillId="4" borderId="6" xfId="20" applyNumberFormat="1" applyFont="1" applyFill="1" applyBorder="1" applyAlignment="1">
      <alignment horizontal="left" vertical="top" textRotation="90" wrapText="1"/>
    </xf>
    <xf numFmtId="0" fontId="11" fillId="9" borderId="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17" fontId="9" fillId="4" borderId="5" xfId="20" applyNumberFormat="1" applyFont="1" applyFill="1" applyBorder="1" applyAlignment="1">
      <alignment horizontal="center" vertical="top" wrapText="1"/>
    </xf>
    <xf numFmtId="0" fontId="9" fillId="4" borderId="7" xfId="2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 wrapText="1"/>
    </xf>
    <xf numFmtId="0" fontId="39" fillId="15" borderId="7" xfId="0" applyFont="1" applyFill="1" applyBorder="1" applyAlignment="1">
      <alignment horizontal="center" vertical="center" wrapText="1"/>
    </xf>
    <xf numFmtId="0" fontId="39" fillId="15" borderId="6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left" vertical="center" wrapText="1"/>
    </xf>
    <xf numFmtId="0" fontId="39" fillId="6" borderId="9" xfId="0" applyFont="1" applyFill="1" applyBorder="1" applyAlignment="1">
      <alignment horizontal="left" vertical="center" wrapText="1"/>
    </xf>
    <xf numFmtId="0" fontId="39" fillId="15" borderId="3" xfId="0" applyFont="1" applyFill="1" applyBorder="1" applyAlignment="1">
      <alignment horizontal="center" vertical="center" wrapText="1"/>
    </xf>
    <xf numFmtId="0" fontId="39" fillId="15" borderId="21" xfId="0" applyFont="1" applyFill="1" applyBorder="1" applyAlignment="1">
      <alignment horizontal="center" vertical="center" wrapText="1"/>
    </xf>
    <xf numFmtId="0" fontId="39" fillId="15" borderId="9" xfId="0" applyFont="1" applyFill="1" applyBorder="1" applyAlignment="1">
      <alignment horizontal="center" vertical="center" wrapText="1"/>
    </xf>
    <xf numFmtId="0" fontId="37" fillId="0" borderId="5" xfId="5" applyFont="1" applyBorder="1" applyAlignment="1">
      <alignment horizontal="left" vertical="top" wrapText="1"/>
    </xf>
    <xf numFmtId="0" fontId="37" fillId="0" borderId="7" xfId="5" applyFont="1" applyBorder="1" applyAlignment="1">
      <alignment horizontal="left" vertical="top" wrapText="1"/>
    </xf>
    <xf numFmtId="0" fontId="39" fillId="0" borderId="7" xfId="0" applyFont="1" applyBorder="1" applyAlignment="1">
      <alignment horizontal="center" vertical="center" wrapText="1"/>
    </xf>
    <xf numFmtId="187" fontId="37" fillId="0" borderId="5" xfId="20" applyNumberFormat="1" applyFont="1" applyBorder="1" applyAlignment="1">
      <alignment horizontal="center" vertical="center" textRotation="90" wrapText="1"/>
    </xf>
    <xf numFmtId="187" fontId="37" fillId="0" borderId="7" xfId="20" applyNumberFormat="1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textRotation="90" wrapText="1"/>
    </xf>
    <xf numFmtId="0" fontId="39" fillId="0" borderId="7" xfId="0" applyFont="1" applyBorder="1" applyAlignment="1">
      <alignment horizontal="center" vertical="top" textRotation="90" wrapText="1"/>
    </xf>
    <xf numFmtId="187" fontId="37" fillId="0" borderId="5" xfId="20" applyNumberFormat="1" applyFont="1" applyFill="1" applyBorder="1" applyAlignment="1">
      <alignment horizontal="center" vertical="center" textRotation="90" wrapText="1"/>
    </xf>
    <xf numFmtId="187" fontId="37" fillId="0" borderId="7" xfId="20" applyNumberFormat="1" applyFont="1" applyFill="1" applyBorder="1" applyAlignment="1">
      <alignment horizontal="center" vertical="center" textRotation="90" wrapText="1"/>
    </xf>
    <xf numFmtId="187" fontId="37" fillId="0" borderId="6" xfId="20" applyNumberFormat="1" applyFont="1" applyFill="1" applyBorder="1" applyAlignment="1">
      <alignment horizontal="center" vertical="center" textRotation="90" wrapText="1"/>
    </xf>
    <xf numFmtId="0" fontId="37" fillId="0" borderId="5" xfId="0" applyFont="1" applyBorder="1" applyAlignment="1">
      <alignment vertical="top" wrapText="1"/>
    </xf>
    <xf numFmtId="0" fontId="37" fillId="0" borderId="7" xfId="0" applyFont="1" applyBorder="1" applyAlignment="1">
      <alignment vertical="top" wrapText="1"/>
    </xf>
    <xf numFmtId="0" fontId="37" fillId="0" borderId="6" xfId="0" applyFont="1" applyBorder="1" applyAlignment="1">
      <alignment vertical="top" wrapText="1"/>
    </xf>
    <xf numFmtId="0" fontId="17" fillId="0" borderId="5" xfId="5" applyFont="1" applyBorder="1" applyAlignment="1">
      <alignment horizontal="left" vertical="top" wrapText="1"/>
    </xf>
    <xf numFmtId="0" fontId="17" fillId="0" borderId="7" xfId="5" applyFont="1" applyBorder="1" applyAlignment="1">
      <alignment horizontal="left" vertical="top" wrapText="1"/>
    </xf>
    <xf numFmtId="0" fontId="17" fillId="0" borderId="6" xfId="5" applyFont="1" applyBorder="1" applyAlignment="1">
      <alignment horizontal="left" vertical="top" wrapText="1"/>
    </xf>
    <xf numFmtId="0" fontId="16" fillId="9" borderId="3" xfId="0" applyFont="1" applyFill="1" applyBorder="1" applyAlignment="1">
      <alignment horizontal="left" vertical="top" wrapText="1"/>
    </xf>
    <xf numFmtId="0" fontId="16" fillId="9" borderId="21" xfId="0" applyFont="1" applyFill="1" applyBorder="1" applyAlignment="1">
      <alignment horizontal="left" vertical="top" wrapText="1"/>
    </xf>
    <xf numFmtId="0" fontId="16" fillId="9" borderId="9" xfId="0" applyFont="1" applyFill="1" applyBorder="1" applyAlignment="1">
      <alignment horizontal="left" vertical="top" wrapText="1"/>
    </xf>
    <xf numFmtId="0" fontId="16" fillId="9" borderId="15" xfId="0" applyFont="1" applyFill="1" applyBorder="1" applyAlignment="1">
      <alignment horizontal="left" vertical="top" wrapText="1"/>
    </xf>
    <xf numFmtId="0" fontId="16" fillId="9" borderId="4" xfId="0" applyFont="1" applyFill="1" applyBorder="1" applyAlignment="1">
      <alignment horizontal="left" vertical="top" wrapText="1"/>
    </xf>
    <xf numFmtId="0" fontId="16" fillId="9" borderId="22" xfId="0" applyFont="1" applyFill="1" applyBorder="1" applyAlignment="1">
      <alignment horizontal="left" vertical="top" wrapText="1"/>
    </xf>
    <xf numFmtId="0" fontId="16" fillId="9" borderId="16" xfId="0" applyFont="1" applyFill="1" applyBorder="1" applyAlignment="1">
      <alignment horizontal="left" vertical="top" wrapText="1"/>
    </xf>
    <xf numFmtId="0" fontId="16" fillId="9" borderId="0" xfId="0" applyFont="1" applyFill="1" applyBorder="1" applyAlignment="1">
      <alignment horizontal="left" vertical="top" wrapText="1"/>
    </xf>
    <xf numFmtId="0" fontId="16" fillId="9" borderId="14" xfId="0" applyFont="1" applyFill="1" applyBorder="1" applyAlignment="1">
      <alignment horizontal="left" vertical="top" wrapText="1"/>
    </xf>
    <xf numFmtId="0" fontId="16" fillId="9" borderId="3" xfId="5" applyFont="1" applyFill="1" applyBorder="1" applyAlignment="1">
      <alignment horizontal="left" vertical="top"/>
    </xf>
    <xf numFmtId="0" fontId="16" fillId="9" borderId="21" xfId="5" applyFont="1" applyFill="1" applyBorder="1" applyAlignment="1">
      <alignment horizontal="left" vertical="top"/>
    </xf>
    <xf numFmtId="0" fontId="16" fillId="9" borderId="3" xfId="0" applyFont="1" applyFill="1" applyBorder="1" applyAlignment="1">
      <alignment horizontal="left" vertical="center" wrapText="1"/>
    </xf>
    <xf numFmtId="0" fontId="16" fillId="9" borderId="2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 readingOrder="1"/>
    </xf>
    <xf numFmtId="3" fontId="67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 readingOrder="1"/>
    </xf>
    <xf numFmtId="0" fontId="22" fillId="0" borderId="7" xfId="0" applyFont="1" applyFill="1" applyBorder="1" applyAlignment="1">
      <alignment horizontal="left" vertical="top" wrapText="1" readingOrder="1"/>
    </xf>
    <xf numFmtId="0" fontId="22" fillId="0" borderId="16" xfId="0" applyFont="1" applyFill="1" applyBorder="1" applyAlignment="1">
      <alignment horizontal="left" vertical="top" wrapText="1" readingOrder="1"/>
    </xf>
    <xf numFmtId="0" fontId="22" fillId="0" borderId="5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4" fontId="22" fillId="0" borderId="5" xfId="0" applyNumberFormat="1" applyFont="1" applyFill="1" applyBorder="1" applyAlignment="1">
      <alignment horizontal="center" vertical="top" textRotation="90"/>
    </xf>
    <xf numFmtId="4" fontId="22" fillId="0" borderId="7" xfId="0" applyNumberFormat="1" applyFont="1" applyFill="1" applyBorder="1" applyAlignment="1">
      <alignment horizontal="center" vertical="top" textRotation="90"/>
    </xf>
    <xf numFmtId="4" fontId="22" fillId="0" borderId="6" xfId="0" applyNumberFormat="1" applyFont="1" applyFill="1" applyBorder="1" applyAlignment="1">
      <alignment horizontal="center" vertical="top" textRotation="90"/>
    </xf>
    <xf numFmtId="49" fontId="22" fillId="0" borderId="5" xfId="0" applyNumberFormat="1" applyFont="1" applyFill="1" applyBorder="1" applyAlignment="1">
      <alignment horizontal="center" vertical="top" textRotation="91"/>
    </xf>
    <xf numFmtId="49" fontId="22" fillId="0" borderId="7" xfId="0" applyNumberFormat="1" applyFont="1" applyFill="1" applyBorder="1" applyAlignment="1">
      <alignment horizontal="center" vertical="top" textRotation="91"/>
    </xf>
    <xf numFmtId="49" fontId="22" fillId="0" borderId="6" xfId="0" applyNumberFormat="1" applyFont="1" applyFill="1" applyBorder="1" applyAlignment="1">
      <alignment horizontal="center" vertical="top" textRotation="91"/>
    </xf>
    <xf numFmtId="4" fontId="22" fillId="0" borderId="5" xfId="129" applyNumberFormat="1" applyFont="1" applyFill="1" applyBorder="1" applyAlignment="1">
      <alignment horizontal="center" vertical="top" textRotation="90"/>
    </xf>
    <xf numFmtId="4" fontId="22" fillId="0" borderId="7" xfId="129" applyNumberFormat="1" applyFont="1" applyFill="1" applyBorder="1" applyAlignment="1">
      <alignment horizontal="center" vertical="top" textRotation="90"/>
    </xf>
    <xf numFmtId="0" fontId="22" fillId="0" borderId="5" xfId="0" applyFont="1" applyFill="1" applyBorder="1" applyAlignment="1">
      <alignment horizontal="center" vertical="center" textRotation="90" wrapText="1"/>
    </xf>
    <xf numFmtId="0" fontId="22" fillId="0" borderId="7" xfId="0" applyFont="1" applyFill="1" applyBorder="1" applyAlignment="1">
      <alignment horizontal="center" vertical="center" textRotation="90" wrapText="1"/>
    </xf>
    <xf numFmtId="0" fontId="22" fillId="0" borderId="6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6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textRotation="90" wrapText="1"/>
    </xf>
    <xf numFmtId="4" fontId="22" fillId="0" borderId="7" xfId="0" applyNumberFormat="1" applyFont="1" applyFill="1" applyBorder="1" applyAlignment="1">
      <alignment horizontal="center" vertical="center" textRotation="90" wrapText="1"/>
    </xf>
    <xf numFmtId="4" fontId="22" fillId="0" borderId="6" xfId="0" applyNumberFormat="1" applyFont="1" applyFill="1" applyBorder="1" applyAlignment="1">
      <alignment horizontal="center" vertical="center" textRotation="90" wrapText="1"/>
    </xf>
    <xf numFmtId="4" fontId="22" fillId="0" borderId="5" xfId="0" applyNumberFormat="1" applyFont="1" applyFill="1" applyBorder="1" applyAlignment="1">
      <alignment horizontal="center" vertical="top" textRotation="90" wrapText="1"/>
    </xf>
    <xf numFmtId="4" fontId="22" fillId="0" borderId="7" xfId="0" applyNumberFormat="1" applyFont="1" applyFill="1" applyBorder="1" applyAlignment="1">
      <alignment horizontal="center" vertical="top" textRotation="90" wrapText="1"/>
    </xf>
    <xf numFmtId="4" fontId="22" fillId="0" borderId="6" xfId="0" applyNumberFormat="1" applyFont="1" applyFill="1" applyBorder="1" applyAlignment="1">
      <alignment horizontal="center" vertical="top" textRotation="90" wrapText="1"/>
    </xf>
    <xf numFmtId="0" fontId="22" fillId="0" borderId="6" xfId="0" applyFont="1" applyFill="1" applyBorder="1" applyAlignment="1">
      <alignment horizontal="left" vertical="top" wrapText="1"/>
    </xf>
    <xf numFmtId="4" fontId="22" fillId="0" borderId="5" xfId="0" applyNumberFormat="1" applyFont="1" applyFill="1" applyBorder="1" applyAlignment="1">
      <alignment horizontal="center" vertical="top" wrapText="1"/>
    </xf>
    <xf numFmtId="4" fontId="22" fillId="0" borderId="7" xfId="0" applyNumberFormat="1" applyFont="1" applyFill="1" applyBorder="1" applyAlignment="1">
      <alignment horizontal="center" vertical="top" wrapText="1"/>
    </xf>
    <xf numFmtId="4" fontId="22" fillId="0" borderId="6" xfId="0" applyNumberFormat="1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3" fillId="0" borderId="3" xfId="102" applyFont="1" applyFill="1" applyBorder="1" applyAlignment="1">
      <alignment horizontal="left" vertical="top" wrapText="1"/>
    </xf>
    <xf numFmtId="0" fontId="23" fillId="0" borderId="21" xfId="102" applyFont="1" applyFill="1" applyBorder="1" applyAlignment="1">
      <alignment horizontal="left" vertical="top" wrapText="1"/>
    </xf>
    <xf numFmtId="0" fontId="22" fillId="0" borderId="5" xfId="102" applyFont="1" applyBorder="1" applyAlignment="1">
      <alignment horizontal="center" vertical="center" textRotation="90" wrapText="1"/>
    </xf>
    <xf numFmtId="0" fontId="22" fillId="0" borderId="7" xfId="102" applyFont="1" applyBorder="1" applyAlignment="1">
      <alignment horizontal="center" vertical="center" textRotation="90" wrapText="1"/>
    </xf>
    <xf numFmtId="0" fontId="22" fillId="0" borderId="6" xfId="102" applyFont="1" applyBorder="1" applyAlignment="1">
      <alignment horizontal="center" vertical="center" textRotation="90" wrapText="1"/>
    </xf>
    <xf numFmtId="0" fontId="22" fillId="0" borderId="5" xfId="102" applyFont="1" applyBorder="1" applyAlignment="1">
      <alignment horizontal="left" vertical="top" wrapText="1"/>
    </xf>
    <xf numFmtId="0" fontId="22" fillId="0" borderId="7" xfId="102" applyFont="1" applyBorder="1" applyAlignment="1">
      <alignment horizontal="left" vertical="top" wrapText="1"/>
    </xf>
    <xf numFmtId="0" fontId="22" fillId="0" borderId="6" xfId="102" applyFont="1" applyBorder="1" applyAlignment="1">
      <alignment horizontal="left" vertical="top" wrapText="1"/>
    </xf>
    <xf numFmtId="4" fontId="22" fillId="0" borderId="5" xfId="102" applyNumberFormat="1" applyFont="1" applyBorder="1" applyAlignment="1">
      <alignment horizontal="center" vertical="top" textRotation="90" wrapText="1"/>
    </xf>
    <xf numFmtId="4" fontId="22" fillId="0" borderId="7" xfId="102" applyNumberFormat="1" applyFont="1" applyBorder="1" applyAlignment="1">
      <alignment horizontal="center" vertical="top" textRotation="90" wrapText="1"/>
    </xf>
    <xf numFmtId="4" fontId="22" fillId="0" borderId="5" xfId="102" applyNumberFormat="1" applyFont="1" applyBorder="1" applyAlignment="1">
      <alignment horizontal="center" vertical="top" wrapText="1"/>
    </xf>
    <xf numFmtId="4" fontId="22" fillId="0" borderId="7" xfId="102" applyNumberFormat="1" applyFont="1" applyBorder="1" applyAlignment="1">
      <alignment horizontal="center" vertical="top" wrapText="1"/>
    </xf>
    <xf numFmtId="4" fontId="22" fillId="0" borderId="5" xfId="129" applyNumberFormat="1" applyFont="1" applyBorder="1" applyAlignment="1">
      <alignment horizontal="center" vertical="top" textRotation="90" wrapText="1"/>
    </xf>
    <xf numFmtId="4" fontId="22" fillId="0" borderId="7" xfId="129" applyNumberFormat="1" applyFont="1" applyBorder="1" applyAlignment="1">
      <alignment horizontal="center" vertical="top" textRotation="90" wrapText="1"/>
    </xf>
    <xf numFmtId="0" fontId="22" fillId="0" borderId="5" xfId="102" applyFont="1" applyBorder="1" applyAlignment="1">
      <alignment horizontal="left" vertical="center" textRotation="90" wrapText="1"/>
    </xf>
    <xf numFmtId="0" fontId="22" fillId="0" borderId="7" xfId="102" applyFont="1" applyBorder="1" applyAlignment="1">
      <alignment horizontal="left" vertical="center" textRotation="90" wrapText="1"/>
    </xf>
    <xf numFmtId="0" fontId="22" fillId="0" borderId="6" xfId="102" applyFont="1" applyBorder="1" applyAlignment="1">
      <alignment horizontal="left" vertical="center" textRotation="90" wrapText="1"/>
    </xf>
    <xf numFmtId="4" fontId="69" fillId="0" borderId="5" xfId="102" applyNumberFormat="1" applyFont="1" applyBorder="1" applyAlignment="1">
      <alignment horizontal="center" vertical="top" textRotation="90" wrapText="1"/>
    </xf>
    <xf numFmtId="4" fontId="69" fillId="0" borderId="6" xfId="102" applyNumberFormat="1" applyFont="1" applyBorder="1" applyAlignment="1">
      <alignment horizontal="center" vertical="top" textRotation="90" wrapText="1"/>
    </xf>
    <xf numFmtId="4" fontId="65" fillId="0" borderId="5" xfId="102" applyNumberFormat="1" applyFont="1" applyBorder="1" applyAlignment="1">
      <alignment horizontal="center" vertical="top" wrapText="1"/>
    </xf>
    <xf numFmtId="4" fontId="65" fillId="0" borderId="7" xfId="102" applyNumberFormat="1" applyFont="1" applyBorder="1" applyAlignment="1">
      <alignment horizontal="center" vertical="top" wrapText="1"/>
    </xf>
    <xf numFmtId="4" fontId="65" fillId="0" borderId="6" xfId="102" applyNumberFormat="1" applyFont="1" applyBorder="1" applyAlignment="1">
      <alignment horizontal="center" vertical="top" wrapText="1"/>
    </xf>
    <xf numFmtId="4" fontId="65" fillId="0" borderId="5" xfId="102" applyNumberFormat="1" applyFont="1" applyBorder="1" applyAlignment="1">
      <alignment horizontal="center" vertical="top" textRotation="90" wrapText="1"/>
    </xf>
    <xf numFmtId="4" fontId="65" fillId="0" borderId="7" xfId="102" applyNumberFormat="1" applyFont="1" applyBorder="1" applyAlignment="1">
      <alignment horizontal="center" vertical="top" textRotation="90" wrapText="1"/>
    </xf>
    <xf numFmtId="4" fontId="65" fillId="0" borderId="6" xfId="102" applyNumberFormat="1" applyFont="1" applyBorder="1" applyAlignment="1">
      <alignment horizontal="center" vertical="top" textRotation="90" wrapText="1"/>
    </xf>
    <xf numFmtId="4" fontId="65" fillId="0" borderId="5" xfId="129" applyNumberFormat="1" applyFont="1" applyBorder="1" applyAlignment="1">
      <alignment horizontal="center" vertical="top" textRotation="90" wrapText="1"/>
    </xf>
    <xf numFmtId="4" fontId="65" fillId="0" borderId="7" xfId="129" applyNumberFormat="1" applyFont="1" applyBorder="1" applyAlignment="1">
      <alignment horizontal="center" vertical="top" textRotation="90" wrapText="1"/>
    </xf>
    <xf numFmtId="4" fontId="65" fillId="0" borderId="6" xfId="129" applyNumberFormat="1" applyFont="1" applyBorder="1" applyAlignment="1">
      <alignment horizontal="center" vertical="top" textRotation="90" wrapText="1"/>
    </xf>
    <xf numFmtId="4" fontId="65" fillId="0" borderId="5" xfId="102" applyNumberFormat="1" applyFont="1" applyBorder="1" applyAlignment="1">
      <alignment horizontal="left" vertical="top" textRotation="90" wrapText="1"/>
    </xf>
    <xf numFmtId="4" fontId="65" fillId="0" borderId="7" xfId="102" applyNumberFormat="1" applyFont="1" applyBorder="1" applyAlignment="1">
      <alignment horizontal="left" vertical="top" textRotation="90" wrapText="1"/>
    </xf>
    <xf numFmtId="4" fontId="65" fillId="0" borderId="6" xfId="102" applyNumberFormat="1" applyFont="1" applyBorder="1" applyAlignment="1">
      <alignment horizontal="left" vertical="top" textRotation="90" wrapText="1"/>
    </xf>
    <xf numFmtId="0" fontId="65" fillId="0" borderId="5" xfId="102" applyFont="1" applyBorder="1" applyAlignment="1">
      <alignment horizontal="left" vertical="top" wrapText="1"/>
    </xf>
    <xf numFmtId="0" fontId="65" fillId="0" borderId="7" xfId="102" applyFont="1" applyBorder="1" applyAlignment="1">
      <alignment horizontal="left" vertical="top" wrapText="1"/>
    </xf>
    <xf numFmtId="0" fontId="65" fillId="0" borderId="6" xfId="102" applyFont="1" applyBorder="1" applyAlignment="1">
      <alignment horizontal="left" vertical="top" wrapText="1"/>
    </xf>
    <xf numFmtId="4" fontId="22" fillId="0" borderId="6" xfId="102" applyNumberFormat="1" applyFont="1" applyBorder="1" applyAlignment="1">
      <alignment horizontal="center" vertical="top" textRotation="90" wrapText="1"/>
    </xf>
    <xf numFmtId="4" fontId="65" fillId="0" borderId="5" xfId="129" applyNumberFormat="1" applyFont="1" applyBorder="1" applyAlignment="1">
      <alignment horizontal="left" vertical="top" textRotation="90" wrapText="1"/>
    </xf>
    <xf numFmtId="4" fontId="65" fillId="0" borderId="7" xfId="129" applyNumberFormat="1" applyFont="1" applyBorder="1" applyAlignment="1">
      <alignment horizontal="left" vertical="top" textRotation="90" wrapText="1"/>
    </xf>
    <xf numFmtId="4" fontId="65" fillId="0" borderId="6" xfId="129" applyNumberFormat="1" applyFont="1" applyBorder="1" applyAlignment="1">
      <alignment horizontal="left" vertical="top" textRotation="90" wrapText="1"/>
    </xf>
    <xf numFmtId="4" fontId="22" fillId="0" borderId="5" xfId="102" applyNumberFormat="1" applyFont="1" applyFill="1" applyBorder="1" applyAlignment="1">
      <alignment horizontal="center" vertical="top" textRotation="90" wrapText="1"/>
    </xf>
    <xf numFmtId="4" fontId="22" fillId="0" borderId="6" xfId="102" applyNumberFormat="1" applyFont="1" applyFill="1" applyBorder="1" applyAlignment="1">
      <alignment horizontal="center" vertical="top" textRotation="90" wrapText="1"/>
    </xf>
    <xf numFmtId="4" fontId="22" fillId="0" borderId="5" xfId="129" applyNumberFormat="1" applyFont="1" applyFill="1" applyBorder="1" applyAlignment="1">
      <alignment horizontal="center" vertical="top" textRotation="90" wrapText="1"/>
    </xf>
    <xf numFmtId="4" fontId="22" fillId="0" borderId="6" xfId="129" applyNumberFormat="1" applyFont="1" applyFill="1" applyBorder="1" applyAlignment="1">
      <alignment horizontal="center" vertical="top" textRotation="90" wrapText="1"/>
    </xf>
    <xf numFmtId="0" fontId="22" fillId="0" borderId="5" xfId="102" applyFont="1" applyFill="1" applyBorder="1" applyAlignment="1">
      <alignment horizontal="left" vertical="top" wrapText="1"/>
    </xf>
    <xf numFmtId="0" fontId="22" fillId="0" borderId="6" xfId="102" applyFont="1" applyFill="1" applyBorder="1" applyAlignment="1">
      <alignment horizontal="left" vertical="top" wrapText="1"/>
    </xf>
    <xf numFmtId="0" fontId="19" fillId="0" borderId="5" xfId="102" applyFont="1" applyFill="1" applyBorder="1" applyAlignment="1">
      <alignment horizontal="left" vertical="top" wrapText="1"/>
    </xf>
    <xf numFmtId="0" fontId="19" fillId="0" borderId="6" xfId="102" applyFont="1" applyFill="1" applyBorder="1" applyAlignment="1">
      <alignment horizontal="left" vertical="top" wrapText="1"/>
    </xf>
    <xf numFmtId="0" fontId="75" fillId="0" borderId="5" xfId="102" applyFont="1" applyFill="1" applyBorder="1" applyAlignment="1">
      <alignment horizontal="left" vertical="top" wrapText="1"/>
    </xf>
    <xf numFmtId="0" fontId="75" fillId="0" borderId="6" xfId="102" applyFont="1" applyFill="1" applyBorder="1" applyAlignment="1">
      <alignment horizontal="left" vertical="top" wrapText="1"/>
    </xf>
    <xf numFmtId="0" fontId="65" fillId="16" borderId="5" xfId="0" applyFont="1" applyFill="1" applyBorder="1" applyAlignment="1">
      <alignment horizontal="center" vertical="center" textRotation="90" wrapText="1"/>
    </xf>
    <xf numFmtId="0" fontId="65" fillId="16" borderId="7" xfId="0" applyFont="1" applyFill="1" applyBorder="1" applyAlignment="1">
      <alignment horizontal="center" vertical="center" textRotation="90" wrapText="1"/>
    </xf>
    <xf numFmtId="0" fontId="65" fillId="16" borderId="6" xfId="0" applyFont="1" applyFill="1" applyBorder="1" applyAlignment="1">
      <alignment horizontal="center" vertical="center" textRotation="90" wrapText="1"/>
    </xf>
    <xf numFmtId="0" fontId="22" fillId="0" borderId="3" xfId="102" applyFont="1" applyFill="1" applyBorder="1" applyAlignment="1">
      <alignment horizontal="center" vertical="top" wrapText="1"/>
    </xf>
    <xf numFmtId="0" fontId="22" fillId="0" borderId="21" xfId="102" applyFont="1" applyFill="1" applyBorder="1" applyAlignment="1">
      <alignment horizontal="center" vertical="top" wrapText="1"/>
    </xf>
    <xf numFmtId="0" fontId="22" fillId="0" borderId="9" xfId="102" applyFont="1" applyFill="1" applyBorder="1" applyAlignment="1">
      <alignment horizontal="center" vertical="top" wrapText="1"/>
    </xf>
    <xf numFmtId="0" fontId="65" fillId="0" borderId="5" xfId="0" applyFont="1" applyBorder="1" applyAlignment="1">
      <alignment horizontal="left" vertical="top" wrapText="1"/>
    </xf>
    <xf numFmtId="0" fontId="65" fillId="0" borderId="7" xfId="0" applyFont="1" applyBorder="1" applyAlignment="1">
      <alignment horizontal="left" vertical="top" wrapText="1"/>
    </xf>
    <xf numFmtId="0" fontId="65" fillId="0" borderId="6" xfId="0" applyFont="1" applyBorder="1" applyAlignment="1">
      <alignment horizontal="left" vertical="top" wrapText="1"/>
    </xf>
    <xf numFmtId="0" fontId="76" fillId="0" borderId="5" xfId="0" applyFont="1" applyBorder="1" applyAlignment="1">
      <alignment horizontal="left" vertical="top" wrapText="1"/>
    </xf>
    <xf numFmtId="0" fontId="76" fillId="0" borderId="7" xfId="0" applyFont="1" applyBorder="1" applyAlignment="1">
      <alignment horizontal="left" vertical="top" wrapText="1"/>
    </xf>
    <xf numFmtId="0" fontId="76" fillId="0" borderId="6" xfId="0" applyFont="1" applyBorder="1" applyAlignment="1">
      <alignment horizontal="left" vertical="top" wrapText="1"/>
    </xf>
    <xf numFmtId="0" fontId="72" fillId="0" borderId="5" xfId="0" applyFont="1" applyBorder="1" applyAlignment="1">
      <alignment horizontal="left" vertical="top" wrapText="1"/>
    </xf>
    <xf numFmtId="0" fontId="72" fillId="0" borderId="7" xfId="0" applyFont="1" applyBorder="1" applyAlignment="1">
      <alignment horizontal="left" vertical="top" wrapText="1"/>
    </xf>
    <xf numFmtId="0" fontId="72" fillId="0" borderId="6" xfId="0" applyFont="1" applyBorder="1" applyAlignment="1">
      <alignment horizontal="left" vertical="top" wrapText="1"/>
    </xf>
    <xf numFmtId="4" fontId="65" fillId="0" borderId="5" xfId="102" applyNumberFormat="1" applyFont="1" applyBorder="1" applyAlignment="1">
      <alignment horizontal="left" vertical="top" wrapText="1"/>
    </xf>
    <xf numFmtId="4" fontId="65" fillId="0" borderId="7" xfId="102" applyNumberFormat="1" applyFont="1" applyBorder="1" applyAlignment="1">
      <alignment horizontal="left" vertical="top" wrapText="1"/>
    </xf>
    <xf numFmtId="4" fontId="65" fillId="0" borderId="6" xfId="102" applyNumberFormat="1" applyFont="1" applyBorder="1" applyAlignment="1">
      <alignment horizontal="left" vertical="top" wrapText="1"/>
    </xf>
    <xf numFmtId="4" fontId="70" fillId="0" borderId="5" xfId="0" applyNumberFormat="1" applyFont="1" applyBorder="1" applyAlignment="1">
      <alignment horizontal="center" vertical="top" textRotation="90" wrapText="1"/>
    </xf>
    <xf numFmtId="4" fontId="70" fillId="0" borderId="7" xfId="0" applyNumberFormat="1" applyFont="1" applyBorder="1" applyAlignment="1">
      <alignment horizontal="center" vertical="top" textRotation="90" wrapText="1"/>
    </xf>
    <xf numFmtId="4" fontId="65" fillId="0" borderId="5" xfId="0" applyNumberFormat="1" applyFont="1" applyBorder="1" applyAlignment="1">
      <alignment horizontal="center" vertical="top" wrapText="1"/>
    </xf>
    <xf numFmtId="4" fontId="65" fillId="0" borderId="7" xfId="0" applyNumberFormat="1" applyFont="1" applyBorder="1" applyAlignment="1">
      <alignment horizontal="center" vertical="top" wrapText="1"/>
    </xf>
    <xf numFmtId="0" fontId="65" fillId="0" borderId="5" xfId="0" applyFont="1" applyBorder="1" applyAlignment="1">
      <alignment vertical="top" wrapText="1"/>
    </xf>
    <xf numFmtId="0" fontId="65" fillId="0" borderId="6" xfId="0" applyFont="1" applyBorder="1" applyAlignment="1">
      <alignment vertical="top" wrapText="1"/>
    </xf>
    <xf numFmtId="4" fontId="19" fillId="0" borderId="5" xfId="102" applyNumberFormat="1" applyFont="1" applyFill="1" applyBorder="1" applyAlignment="1">
      <alignment horizontal="center" vertical="top" wrapText="1"/>
    </xf>
    <xf numFmtId="4" fontId="19" fillId="0" borderId="6" xfId="102" applyNumberFormat="1" applyFont="1" applyFill="1" applyBorder="1" applyAlignment="1">
      <alignment horizontal="center" vertical="top" wrapText="1"/>
    </xf>
    <xf numFmtId="0" fontId="66" fillId="0" borderId="5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4" fontId="66" fillId="0" borderId="3" xfId="0" applyNumberFormat="1" applyFont="1" applyFill="1" applyBorder="1" applyAlignment="1">
      <alignment horizontal="center" vertical="center" wrapText="1"/>
    </xf>
    <xf numFmtId="4" fontId="66" fillId="0" borderId="21" xfId="0" applyNumberFormat="1" applyFont="1" applyFill="1" applyBorder="1" applyAlignment="1">
      <alignment horizontal="center" vertical="center" wrapText="1"/>
    </xf>
    <xf numFmtId="4" fontId="66" fillId="0" borderId="9" xfId="0" applyNumberFormat="1" applyFont="1" applyFill="1" applyBorder="1" applyAlignment="1">
      <alignment horizontal="center" vertical="center" wrapText="1"/>
    </xf>
    <xf numFmtId="4" fontId="66" fillId="0" borderId="5" xfId="0" applyNumberFormat="1" applyFont="1" applyFill="1" applyBorder="1" applyAlignment="1">
      <alignment horizontal="center" vertical="center" wrapText="1"/>
    </xf>
    <xf numFmtId="4" fontId="66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textRotation="90" wrapText="1"/>
    </xf>
    <xf numFmtId="17" fontId="22" fillId="0" borderId="5" xfId="0" applyNumberFormat="1" applyFont="1" applyFill="1" applyBorder="1" applyAlignment="1">
      <alignment horizontal="center" vertical="top" wrapText="1"/>
    </xf>
    <xf numFmtId="17" fontId="22" fillId="0" borderId="6" xfId="0" applyNumberFormat="1" applyFont="1" applyFill="1" applyBorder="1" applyAlignment="1">
      <alignment horizontal="center" vertical="top" wrapText="1"/>
    </xf>
    <xf numFmtId="187" fontId="22" fillId="0" borderId="1" xfId="129" applyNumberFormat="1" applyFont="1" applyBorder="1" applyAlignment="1">
      <alignment horizontal="center" vertical="top" textRotation="90" wrapText="1"/>
    </xf>
    <xf numFmtId="0" fontId="22" fillId="0" borderId="1" xfId="0" applyFont="1" applyFill="1" applyBorder="1" applyAlignment="1">
      <alignment horizontal="center" vertical="center" textRotation="90" wrapText="1"/>
    </xf>
    <xf numFmtId="3" fontId="22" fillId="0" borderId="5" xfId="129" applyNumberFormat="1" applyFont="1" applyFill="1" applyBorder="1" applyAlignment="1">
      <alignment horizontal="center" vertical="top" textRotation="90" wrapText="1"/>
    </xf>
    <xf numFmtId="3" fontId="22" fillId="0" borderId="6" xfId="129" applyNumberFormat="1" applyFont="1" applyFill="1" applyBorder="1" applyAlignment="1">
      <alignment horizontal="center" vertical="top" textRotation="90" wrapText="1"/>
    </xf>
    <xf numFmtId="3" fontId="22" fillId="0" borderId="1" xfId="129" applyNumberFormat="1" applyFont="1" applyFill="1" applyBorder="1" applyAlignment="1">
      <alignment horizontal="center" vertical="top" textRotation="90" wrapText="1"/>
    </xf>
    <xf numFmtId="0" fontId="65" fillId="0" borderId="5" xfId="0" applyFont="1" applyBorder="1" applyAlignment="1">
      <alignment horizontal="center" vertical="top" textRotation="90" wrapText="1"/>
    </xf>
    <xf numFmtId="0" fontId="65" fillId="0" borderId="7" xfId="0" applyFont="1" applyBorder="1" applyAlignment="1">
      <alignment horizontal="center" vertical="top" textRotation="90" wrapText="1"/>
    </xf>
    <xf numFmtId="187" fontId="22" fillId="0" borderId="5" xfId="129" applyNumberFormat="1" applyFont="1" applyFill="1" applyBorder="1" applyAlignment="1">
      <alignment horizontal="center" vertical="center" textRotation="90" wrapText="1"/>
    </xf>
    <xf numFmtId="187" fontId="22" fillId="0" borderId="6" xfId="129" applyNumberFormat="1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/>
    </xf>
    <xf numFmtId="0" fontId="22" fillId="0" borderId="1" xfId="102" applyFont="1" applyFill="1" applyBorder="1" applyAlignment="1">
      <alignment horizontal="left" vertical="top" wrapText="1"/>
    </xf>
    <xf numFmtId="0" fontId="65" fillId="0" borderId="5" xfId="0" applyFont="1" applyFill="1" applyBorder="1" applyAlignment="1">
      <alignment horizontal="left" vertical="top" wrapText="1"/>
    </xf>
    <xf numFmtId="0" fontId="65" fillId="0" borderId="6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 horizontal="left" vertical="center"/>
    </xf>
    <xf numFmtId="0" fontId="66" fillId="0" borderId="7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3" fontId="71" fillId="0" borderId="1" xfId="0" applyNumberFormat="1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66" fillId="0" borderId="3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3" fontId="66" fillId="0" borderId="3" xfId="0" applyNumberFormat="1" applyFont="1" applyFill="1" applyBorder="1" applyAlignment="1">
      <alignment horizontal="center" vertical="center" wrapText="1"/>
    </xf>
    <xf numFmtId="3" fontId="66" fillId="0" borderId="21" xfId="0" applyNumberFormat="1" applyFont="1" applyFill="1" applyBorder="1" applyAlignment="1">
      <alignment horizontal="center" vertical="center" wrapText="1"/>
    </xf>
    <xf numFmtId="3" fontId="66" fillId="0" borderId="9" xfId="0" applyNumberFormat="1" applyFont="1" applyFill="1" applyBorder="1" applyAlignment="1">
      <alignment horizontal="center" vertical="center" wrapText="1"/>
    </xf>
    <xf numFmtId="0" fontId="22" fillId="0" borderId="1" xfId="102" applyFont="1" applyBorder="1" applyAlignment="1">
      <alignment vertical="top" wrapText="1"/>
    </xf>
    <xf numFmtId="4" fontId="69" fillId="0" borderId="1" xfId="102" applyNumberFormat="1" applyFont="1" applyBorder="1" applyAlignment="1">
      <alignment vertical="top" textRotation="90" wrapText="1"/>
    </xf>
    <xf numFmtId="4" fontId="69" fillId="0" borderId="1" xfId="102" applyNumberFormat="1" applyFont="1" applyBorder="1" applyAlignment="1">
      <alignment horizontal="center" vertical="top" wrapText="1"/>
    </xf>
    <xf numFmtId="4" fontId="22" fillId="0" borderId="1" xfId="102" applyNumberFormat="1" applyFont="1" applyBorder="1" applyAlignment="1">
      <alignment vertical="top" textRotation="90" wrapText="1"/>
    </xf>
    <xf numFmtId="4" fontId="22" fillId="0" borderId="1" xfId="129" applyNumberFormat="1" applyFont="1" applyBorder="1" applyAlignment="1">
      <alignment horizontal="center" vertical="top" textRotation="90" wrapText="1"/>
    </xf>
    <xf numFmtId="4" fontId="22" fillId="0" borderId="1" xfId="102" applyNumberFormat="1" applyFont="1" applyBorder="1" applyAlignment="1">
      <alignment horizontal="center" vertical="top" textRotation="90" wrapText="1"/>
    </xf>
    <xf numFmtId="0" fontId="22" fillId="0" borderId="1" xfId="102" applyFont="1" applyBorder="1" applyAlignment="1">
      <alignment vertical="center" textRotation="90" wrapText="1"/>
    </xf>
    <xf numFmtId="4" fontId="69" fillId="0" borderId="1" xfId="102" applyNumberFormat="1" applyFont="1" applyBorder="1" applyAlignment="1">
      <alignment vertical="top" wrapText="1"/>
    </xf>
    <xf numFmtId="4" fontId="22" fillId="0" borderId="5" xfId="102" applyNumberFormat="1" applyFont="1" applyBorder="1" applyAlignment="1">
      <alignment horizontal="center" vertical="center" wrapText="1"/>
    </xf>
    <xf numFmtId="4" fontId="22" fillId="0" borderId="6" xfId="102" applyNumberFormat="1" applyFont="1" applyBorder="1" applyAlignment="1">
      <alignment horizontal="center" vertical="center" wrapText="1"/>
    </xf>
    <xf numFmtId="0" fontId="65" fillId="0" borderId="5" xfId="102" applyFont="1" applyBorder="1" applyAlignment="1">
      <alignment horizontal="center" vertical="top" wrapText="1"/>
    </xf>
    <xf numFmtId="0" fontId="65" fillId="0" borderId="7" xfId="102" applyFont="1" applyBorder="1" applyAlignment="1">
      <alignment horizontal="center" vertical="top" wrapText="1"/>
    </xf>
    <xf numFmtId="4" fontId="65" fillId="0" borderId="5" xfId="102" applyNumberFormat="1" applyFont="1" applyBorder="1" applyAlignment="1">
      <alignment vertical="top" wrapText="1"/>
    </xf>
    <xf numFmtId="4" fontId="66" fillId="19" borderId="6" xfId="102" applyNumberFormat="1" applyFont="1" applyFill="1" applyBorder="1" applyAlignment="1">
      <alignment horizontal="center" vertical="top" wrapText="1"/>
    </xf>
    <xf numFmtId="4" fontId="65" fillId="19" borderId="6" xfId="102" applyNumberFormat="1" applyFont="1" applyFill="1" applyBorder="1" applyAlignment="1">
      <alignment horizontal="right" vertical="top" wrapText="1"/>
    </xf>
    <xf numFmtId="0" fontId="65" fillId="0" borderId="6" xfId="102" applyFont="1" applyBorder="1" applyAlignment="1">
      <alignment horizontal="center" vertical="top" wrapText="1"/>
    </xf>
  </cellXfs>
  <cellStyles count="130">
    <cellStyle name="Comma" xfId="20" builtinId="3"/>
    <cellStyle name="Comma 2" xfId="1"/>
    <cellStyle name="Comma 2 2" xfId="2"/>
    <cellStyle name="Comma 2 2 2 2" xfId="126"/>
    <cellStyle name="Comma 2 2 2 2 4" xfId="127"/>
    <cellStyle name="Comma 2 2 2 2 5" xfId="128"/>
    <cellStyle name="Comma 3" xfId="3"/>
    <cellStyle name="Comma 4" xfId="4"/>
    <cellStyle name="Normal" xfId="0" builtinId="0"/>
    <cellStyle name="Normal 2" xfId="5"/>
    <cellStyle name="Normal 2 2" xfId="6"/>
    <cellStyle name="Normal 2 3" xfId="7"/>
    <cellStyle name="Normal 2 3 2" xfId="8"/>
    <cellStyle name="Normal 2 3 3" xfId="9"/>
    <cellStyle name="Normal 2 3 4" xfId="10"/>
    <cellStyle name="Normal 2 3 5" xfId="11"/>
    <cellStyle name="Normal 2 3 6" xfId="12"/>
    <cellStyle name="Normal 2 3 7" xfId="13"/>
    <cellStyle name="Normal 2 3 8" xfId="14"/>
    <cellStyle name="Normal 2 4" xfId="15"/>
    <cellStyle name="Normal 3" xfId="16"/>
    <cellStyle name="Normal 3 2" xfId="17"/>
    <cellStyle name="Normal 3 3" xfId="18"/>
    <cellStyle name="Normal 7" xfId="19"/>
    <cellStyle name="เครื่องหมายจุลภาค 10" xfId="21"/>
    <cellStyle name="เครื่องหมายจุลภาค 12" xfId="129"/>
    <cellStyle name="เครื่องหมายจุลภาค 16" xfId="22"/>
    <cellStyle name="เครื่องหมายจุลภาค 17" xfId="23"/>
    <cellStyle name="เครื่องหมายจุลภาค 18" xfId="24"/>
    <cellStyle name="เครื่องหมายจุลภาค 19" xfId="25"/>
    <cellStyle name="เครื่องหมายจุลภาค 2" xfId="26"/>
    <cellStyle name="เครื่องหมายจุลภาค 2 10" xfId="27"/>
    <cellStyle name="เครื่องหมายจุลภาค 2 11" xfId="28"/>
    <cellStyle name="เครื่องหมายจุลภาค 2 12" xfId="29"/>
    <cellStyle name="เครื่องหมายจุลภาค 2 2" xfId="30"/>
    <cellStyle name="เครื่องหมายจุลภาค 2 3" xfId="31"/>
    <cellStyle name="เครื่องหมายจุลภาค 2 4" xfId="32"/>
    <cellStyle name="เครื่องหมายจุลภาค 2 5" xfId="33"/>
    <cellStyle name="เครื่องหมายจุลภาค 2 6" xfId="34"/>
    <cellStyle name="เครื่องหมายจุลภาค 2 7" xfId="35"/>
    <cellStyle name="เครื่องหมายจุลภาค 2 8" xfId="36"/>
    <cellStyle name="เครื่องหมายจุลภาค 2 9" xfId="37"/>
    <cellStyle name="เครื่องหมายจุลภาค 3" xfId="38"/>
    <cellStyle name="เครื่องหมายจุลภาค 3 2" xfId="39"/>
    <cellStyle name="เครื่องหมายจุลภาค 3 3" xfId="40"/>
    <cellStyle name="เครื่องหมายจุลภาค 3 4" xfId="41"/>
    <cellStyle name="เครื่องหมายจุลภาค 3 5" xfId="42"/>
    <cellStyle name="เครื่องหมายจุลภาค 3 6" xfId="43"/>
    <cellStyle name="เครื่องหมายจุลภาค 3 7" xfId="44"/>
    <cellStyle name="เครื่องหมายจุลภาค 3 8" xfId="45"/>
    <cellStyle name="เครื่องหมายจุลภาค 4" xfId="46"/>
    <cellStyle name="เครื่องหมายจุลภาค 5" xfId="47"/>
    <cellStyle name="เครื่องหมายจุลภาค 6" xfId="48"/>
    <cellStyle name="เครื่องหมายจุลภาค 6 2" xfId="49"/>
    <cellStyle name="เครื่องหมายจุลภาค 6 3" xfId="50"/>
    <cellStyle name="เครื่องหมายจุลภาค 6 4" xfId="51"/>
    <cellStyle name="เครื่องหมายจุลภาค 6 5" xfId="52"/>
    <cellStyle name="เครื่องหมายจุลภาค 6 6" xfId="53"/>
    <cellStyle name="เครื่องหมายจุลภาค 6 7" xfId="54"/>
    <cellStyle name="เครื่องหมายจุลภาค 6 8" xfId="55"/>
    <cellStyle name="เครื่องหมายจุลภาค 7" xfId="56"/>
    <cellStyle name="เครื่องหมายจุลภาค 7 2" xfId="57"/>
    <cellStyle name="เครื่องหมายจุลภาค 7 2 2" xfId="58"/>
    <cellStyle name="เครื่องหมายจุลภาค 7 2 3" xfId="59"/>
    <cellStyle name="เครื่องหมายจุลภาค 7 2 4" xfId="60"/>
    <cellStyle name="เครื่องหมายจุลภาค 7 2 5" xfId="61"/>
    <cellStyle name="เครื่องหมายจุลภาค 7 2 6" xfId="62"/>
    <cellStyle name="เครื่องหมายจุลภาค 7 2 7" xfId="63"/>
    <cellStyle name="เครื่องหมายจุลภาค 7 2 8" xfId="64"/>
    <cellStyle name="เครื่องหมายจุลภาค 7 3" xfId="65"/>
    <cellStyle name="เครื่องหมายจุลภาค 7 4" xfId="66"/>
    <cellStyle name="เครื่องหมายจุลภาค 7 5" xfId="67"/>
    <cellStyle name="เครื่องหมายจุลภาค 7 6" xfId="68"/>
    <cellStyle name="เครื่องหมายจุลภาค 7 7" xfId="69"/>
    <cellStyle name="เครื่องหมายจุลภาค 7 8" xfId="70"/>
    <cellStyle name="เครื่องหมายจุลภาค 7 9" xfId="71"/>
    <cellStyle name="เครื่องหมายจุลภาค 8" xfId="72"/>
    <cellStyle name="เครื่องหมายจุลภาค 8 2" xfId="73"/>
    <cellStyle name="เครื่องหมายจุลภาค 8 3" xfId="74"/>
    <cellStyle name="เครื่องหมายจุลภาค 8 4" xfId="75"/>
    <cellStyle name="เครื่องหมายจุลภาค 8 5" xfId="76"/>
    <cellStyle name="เครื่องหมายจุลภาค 8 6" xfId="77"/>
    <cellStyle name="เครื่องหมายจุลภาค 8 7" xfId="78"/>
    <cellStyle name="เครื่องหมายจุลภาค 8 8" xfId="79"/>
    <cellStyle name="เครื่องหมายจุลภาค 9" xfId="80"/>
    <cellStyle name="ปกติ 10" xfId="81"/>
    <cellStyle name="ปกติ 11" xfId="82"/>
    <cellStyle name="ปกติ 2" xfId="83"/>
    <cellStyle name="ปกติ 2 10" xfId="84"/>
    <cellStyle name="ปกติ 2 11" xfId="85"/>
    <cellStyle name="ปกติ 2 12" xfId="86"/>
    <cellStyle name="ปกติ 2 13" xfId="87"/>
    <cellStyle name="ปกติ 2 2" xfId="88"/>
    <cellStyle name="ปกติ 2 3" xfId="89"/>
    <cellStyle name="ปกติ 2 3 2" xfId="90"/>
    <cellStyle name="ปกติ 2 3 3" xfId="91"/>
    <cellStyle name="ปกติ 2 4" xfId="92"/>
    <cellStyle name="ปกติ 2 5" xfId="93"/>
    <cellStyle name="ปกติ 2 6" xfId="94"/>
    <cellStyle name="ปกติ 2 7" xfId="95"/>
    <cellStyle name="ปกติ 2 8" xfId="96"/>
    <cellStyle name="ปกติ 2 9" xfId="97"/>
    <cellStyle name="ปกติ 3" xfId="98"/>
    <cellStyle name="ปกติ 3 10" xfId="99"/>
    <cellStyle name="ปกติ 3 11" xfId="100"/>
    <cellStyle name="ปกติ 3 12" xfId="101"/>
    <cellStyle name="ปกติ 3 2" xfId="102"/>
    <cellStyle name="ปกติ 3 3" xfId="103"/>
    <cellStyle name="ปกติ 3 4" xfId="104"/>
    <cellStyle name="ปกติ 3 5" xfId="105"/>
    <cellStyle name="ปกติ 3 6" xfId="106"/>
    <cellStyle name="ปกติ 3 7" xfId="107"/>
    <cellStyle name="ปกติ 3 8" xfId="108"/>
    <cellStyle name="ปกติ 3 9" xfId="109"/>
    <cellStyle name="ปกติ 4" xfId="110"/>
    <cellStyle name="ปกติ 5" xfId="111"/>
    <cellStyle name="ปกติ 5 2" xfId="112"/>
    <cellStyle name="ปกติ 6" xfId="113"/>
    <cellStyle name="ปกติ 6 2" xfId="114"/>
    <cellStyle name="ปกติ 6 3" xfId="115"/>
    <cellStyle name="ปกติ 6 4" xfId="116"/>
    <cellStyle name="ปกติ 6 5" xfId="117"/>
    <cellStyle name="ปกติ 6 6" xfId="118"/>
    <cellStyle name="ปกติ 6 7" xfId="119"/>
    <cellStyle name="ปกติ 6 8" xfId="120"/>
    <cellStyle name="ปกติ 7" xfId="121"/>
    <cellStyle name="ปกติ 8" xfId="122"/>
    <cellStyle name="ปกติ 9" xfId="123"/>
    <cellStyle name="เปอร์เซ็นต์ 2" xfId="124"/>
    <cellStyle name="เปอร์เซ็นต์ 2 2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75" style="742" bestFit="1" customWidth="1"/>
    <col min="2" max="2" width="13.375" style="145" bestFit="1" customWidth="1"/>
    <col min="3" max="3" width="10.75" style="743" bestFit="1" customWidth="1"/>
    <col min="4" max="5" width="11.875" style="145" bestFit="1" customWidth="1"/>
    <col min="6" max="6" width="10.75" style="743" bestFit="1" customWidth="1"/>
    <col min="7" max="7" width="10.75" style="145" bestFit="1" customWidth="1"/>
    <col min="8" max="8" width="11.875" style="145" bestFit="1" customWidth="1"/>
    <col min="9" max="9" width="10.75" style="145" bestFit="1" customWidth="1"/>
    <col min="10" max="11" width="11.875" style="145" bestFit="1" customWidth="1"/>
    <col min="12" max="12" width="12.875" style="145" bestFit="1" customWidth="1"/>
    <col min="13" max="13" width="6.75" style="145" bestFit="1" customWidth="1"/>
    <col min="14" max="14" width="7.125" style="145" bestFit="1" customWidth="1"/>
    <col min="15" max="15" width="10.75" style="145" bestFit="1" customWidth="1"/>
    <col min="16" max="16" width="9.25" style="145" bestFit="1" customWidth="1"/>
    <col min="17" max="20" width="10.75" style="145" bestFit="1" customWidth="1"/>
    <col min="21" max="21" width="8.125" style="145" bestFit="1" customWidth="1"/>
    <col min="22" max="23" width="10.75" style="145" bestFit="1" customWidth="1"/>
    <col min="24" max="24" width="9.25" style="145" bestFit="1" customWidth="1"/>
    <col min="25" max="25" width="8.125" style="145" bestFit="1" customWidth="1"/>
    <col min="26" max="26" width="10.375" style="145" bestFit="1" customWidth="1"/>
    <col min="27" max="27" width="10.75" style="145" bestFit="1" customWidth="1"/>
    <col min="28" max="31" width="9.25" style="145" bestFit="1" customWidth="1"/>
    <col min="32" max="32" width="8.25" style="145" bestFit="1" customWidth="1"/>
    <col min="33" max="33" width="7" style="145" bestFit="1" customWidth="1"/>
    <col min="34" max="34" width="10.25" style="145" bestFit="1" customWidth="1"/>
    <col min="35" max="35" width="10.75" style="145" bestFit="1" customWidth="1"/>
    <col min="36" max="36" width="10.75" style="743" bestFit="1" customWidth="1"/>
    <col min="37" max="16384" width="9" style="145"/>
  </cols>
  <sheetData>
    <row r="1" spans="1:36" ht="20.25">
      <c r="A1" s="1416" t="s">
        <v>446</v>
      </c>
      <c r="B1" s="1416"/>
      <c r="C1" s="1416"/>
      <c r="D1" s="1416"/>
      <c r="E1" s="1416"/>
      <c r="F1" s="1416"/>
      <c r="G1" s="1416"/>
      <c r="H1" s="1416"/>
      <c r="I1" s="1416"/>
      <c r="J1" s="1416"/>
      <c r="K1" s="1416"/>
    </row>
    <row r="2" spans="1:36" s="700" customFormat="1">
      <c r="A2" s="1417" t="s">
        <v>0</v>
      </c>
      <c r="B2" s="1417" t="s">
        <v>1</v>
      </c>
      <c r="C2" s="1418" t="s">
        <v>2</v>
      </c>
      <c r="D2" s="1418"/>
      <c r="E2" s="1418"/>
      <c r="F2" s="1419" t="s">
        <v>3</v>
      </c>
      <c r="G2" s="1419"/>
      <c r="H2" s="1419"/>
      <c r="I2" s="1420" t="s">
        <v>4</v>
      </c>
      <c r="J2" s="1421"/>
      <c r="K2" s="1422"/>
      <c r="L2" s="1415" t="s">
        <v>5</v>
      </c>
      <c r="M2" s="1415"/>
      <c r="N2" s="1415"/>
      <c r="O2" s="1415"/>
      <c r="P2" s="1415"/>
      <c r="Q2" s="1415"/>
      <c r="R2" s="1415"/>
      <c r="S2" s="1415"/>
      <c r="T2" s="1415"/>
      <c r="U2" s="1415" t="s">
        <v>6</v>
      </c>
      <c r="V2" s="1415"/>
      <c r="W2" s="1415"/>
      <c r="X2" s="1415"/>
      <c r="Y2" s="1415"/>
      <c r="Z2" s="1415"/>
      <c r="AA2" s="1415"/>
      <c r="AB2" s="1415"/>
      <c r="AC2" s="1415"/>
      <c r="AD2" s="1415"/>
      <c r="AE2" s="1415"/>
      <c r="AF2" s="1415"/>
      <c r="AG2" s="1415"/>
      <c r="AH2" s="1415"/>
      <c r="AI2" s="1415"/>
      <c r="AJ2" s="1033"/>
    </row>
    <row r="3" spans="1:36" s="710" customFormat="1" ht="56.25">
      <c r="A3" s="1417"/>
      <c r="B3" s="1417"/>
      <c r="C3" s="701" t="s">
        <v>33</v>
      </c>
      <c r="D3" s="702" t="s">
        <v>7</v>
      </c>
      <c r="E3" s="703" t="s">
        <v>4</v>
      </c>
      <c r="F3" s="704" t="s">
        <v>33</v>
      </c>
      <c r="G3" s="705" t="s">
        <v>7</v>
      </c>
      <c r="H3" s="706" t="s">
        <v>4</v>
      </c>
      <c r="I3" s="707" t="s">
        <v>8</v>
      </c>
      <c r="J3" s="707" t="s">
        <v>7</v>
      </c>
      <c r="K3" s="708" t="s">
        <v>4</v>
      </c>
      <c r="L3" s="385" t="s">
        <v>649</v>
      </c>
      <c r="M3" s="385" t="s">
        <v>1517</v>
      </c>
      <c r="N3" s="385" t="s">
        <v>650</v>
      </c>
      <c r="O3" s="385" t="s">
        <v>1318</v>
      </c>
      <c r="P3" s="385" t="s">
        <v>9</v>
      </c>
      <c r="Q3" s="385" t="s">
        <v>10</v>
      </c>
      <c r="R3" s="385" t="s">
        <v>32</v>
      </c>
      <c r="S3" s="385" t="s">
        <v>31</v>
      </c>
      <c r="T3" s="709" t="s">
        <v>4</v>
      </c>
      <c r="U3" s="385" t="s">
        <v>11</v>
      </c>
      <c r="V3" s="385" t="s">
        <v>721</v>
      </c>
      <c r="W3" s="385" t="s">
        <v>909</v>
      </c>
      <c r="X3" s="385" t="s">
        <v>1000</v>
      </c>
      <c r="Y3" s="385" t="s">
        <v>650</v>
      </c>
      <c r="Z3" s="385" t="s">
        <v>1421</v>
      </c>
      <c r="AA3" s="385" t="s">
        <v>12</v>
      </c>
      <c r="AB3" s="385" t="s">
        <v>13</v>
      </c>
      <c r="AC3" s="385" t="s">
        <v>14</v>
      </c>
      <c r="AD3" s="385" t="s">
        <v>15</v>
      </c>
      <c r="AE3" s="385" t="s">
        <v>518</v>
      </c>
      <c r="AF3" s="385" t="s">
        <v>1423</v>
      </c>
      <c r="AG3" s="385" t="s">
        <v>16</v>
      </c>
      <c r="AH3" s="385" t="s">
        <v>32</v>
      </c>
      <c r="AI3" s="709" t="s">
        <v>4</v>
      </c>
      <c r="AJ3" s="1035" t="s">
        <v>1459</v>
      </c>
    </row>
    <row r="4" spans="1:36">
      <c r="A4" s="711">
        <v>1</v>
      </c>
      <c r="B4" s="712" t="s">
        <v>17</v>
      </c>
      <c r="C4" s="713">
        <v>0</v>
      </c>
      <c r="D4" s="713">
        <v>0</v>
      </c>
      <c r="E4" s="714">
        <f>SUM(C4:D4)</f>
        <v>0</v>
      </c>
      <c r="F4" s="715">
        <f>'1-บริหาร(1)'!F41</f>
        <v>93000</v>
      </c>
      <c r="G4" s="716">
        <v>0</v>
      </c>
      <c r="H4" s="717">
        <f>SUM(F4:G4)</f>
        <v>93000</v>
      </c>
      <c r="I4" s="718">
        <f>SUM(C4,F4)</f>
        <v>93000</v>
      </c>
      <c r="J4" s="718">
        <f>SUM(D4,G4)</f>
        <v>0</v>
      </c>
      <c r="K4" s="719">
        <f>SUM(H4,E4)</f>
        <v>93000</v>
      </c>
      <c r="L4" s="720"/>
      <c r="M4" s="720"/>
      <c r="N4" s="720"/>
      <c r="O4" s="720"/>
      <c r="P4" s="720"/>
      <c r="Q4" s="720"/>
      <c r="R4" s="720"/>
      <c r="S4" s="720"/>
      <c r="T4" s="721">
        <f>SUM(L4:S4)</f>
        <v>0</v>
      </c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1">
        <f>SUM(U4:AH4)</f>
        <v>0</v>
      </c>
      <c r="AJ4" s="743">
        <v>48300</v>
      </c>
    </row>
    <row r="5" spans="1:36">
      <c r="A5" s="722">
        <v>2</v>
      </c>
      <c r="B5" s="723" t="s">
        <v>18</v>
      </c>
      <c r="C5" s="724" t="e">
        <f>#REF!+#REF!</f>
        <v>#REF!</v>
      </c>
      <c r="D5" s="724" t="e">
        <f>#REF!</f>
        <v>#REF!</v>
      </c>
      <c r="E5" s="725" t="e">
        <f t="shared" ref="E5:E17" si="0">SUM(C5:D5)</f>
        <v>#REF!</v>
      </c>
      <c r="F5" s="715">
        <f>'2-พยส(1)'!F48</f>
        <v>368480</v>
      </c>
      <c r="G5" s="726">
        <v>0</v>
      </c>
      <c r="H5" s="717">
        <f t="shared" ref="H5:H17" si="1">SUM(F5:G5)</f>
        <v>368480</v>
      </c>
      <c r="I5" s="718" t="e">
        <f t="shared" ref="I5:I17" si="2">SUM(C5,F5)</f>
        <v>#REF!</v>
      </c>
      <c r="J5" s="718" t="e">
        <f t="shared" ref="J5:J17" si="3">SUM(D5,G5)</f>
        <v>#REF!</v>
      </c>
      <c r="K5" s="719" t="e">
        <f t="shared" ref="K5:K17" si="4">SUM(H5,E5)</f>
        <v>#REF!</v>
      </c>
      <c r="L5" s="727" t="e">
        <f>#REF!</f>
        <v>#REF!</v>
      </c>
      <c r="M5" s="727"/>
      <c r="N5" s="728"/>
      <c r="O5" s="728"/>
      <c r="P5" s="728"/>
      <c r="Q5" s="728"/>
      <c r="R5" s="728"/>
      <c r="S5" s="728"/>
      <c r="T5" s="721" t="e">
        <f t="shared" ref="T5:T17" si="5">SUM(L5:S5)</f>
        <v>#REF!</v>
      </c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1">
        <f t="shared" ref="AI5:AI17" si="6">SUM(U5:AH5)</f>
        <v>0</v>
      </c>
    </row>
    <row r="6" spans="1:36">
      <c r="A6" s="722">
        <v>3</v>
      </c>
      <c r="B6" s="723" t="s">
        <v>19</v>
      </c>
      <c r="C6" s="724" t="e">
        <f>#REF!+#REF!</f>
        <v>#REF!</v>
      </c>
      <c r="D6" s="724" t="e">
        <f>#REF!</f>
        <v>#REF!</v>
      </c>
      <c r="E6" s="725" t="e">
        <f t="shared" si="0"/>
        <v>#REF!</v>
      </c>
      <c r="F6" s="715">
        <f>'3-ทรัพฯ(1)'!F19</f>
        <v>68600</v>
      </c>
      <c r="G6" s="726">
        <v>0</v>
      </c>
      <c r="H6" s="717">
        <f t="shared" si="1"/>
        <v>68600</v>
      </c>
      <c r="I6" s="718" t="e">
        <f t="shared" si="2"/>
        <v>#REF!</v>
      </c>
      <c r="J6" s="718" t="e">
        <f t="shared" si="3"/>
        <v>#REF!</v>
      </c>
      <c r="K6" s="719" t="e">
        <f t="shared" si="4"/>
        <v>#REF!</v>
      </c>
      <c r="L6" s="720"/>
      <c r="M6" s="720" t="e">
        <f>#REF!</f>
        <v>#REF!</v>
      </c>
      <c r="N6" s="720"/>
      <c r="O6" s="720"/>
      <c r="P6" s="729"/>
      <c r="Q6" s="720"/>
      <c r="R6" s="720"/>
      <c r="S6" s="720"/>
      <c r="T6" s="721" t="e">
        <f t="shared" si="5"/>
        <v>#REF!</v>
      </c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1">
        <f t="shared" si="6"/>
        <v>0</v>
      </c>
      <c r="AJ6" s="743">
        <v>46600</v>
      </c>
    </row>
    <row r="7" spans="1:36">
      <c r="A7" s="722">
        <v>4</v>
      </c>
      <c r="B7" s="723" t="s">
        <v>20</v>
      </c>
      <c r="C7" s="724" t="e">
        <f>#REF!</f>
        <v>#REF!</v>
      </c>
      <c r="D7" s="730">
        <v>0</v>
      </c>
      <c r="E7" s="725" t="e">
        <f>SUM(C7:D7)</f>
        <v>#REF!</v>
      </c>
      <c r="F7" s="715">
        <f>'4-นิติการ(1)'!F57</f>
        <v>13200</v>
      </c>
      <c r="G7" s="715">
        <f>'4-นิติการ(1)'!F56</f>
        <v>66000</v>
      </c>
      <c r="H7" s="717">
        <f>SUM(F7:G7)</f>
        <v>79200</v>
      </c>
      <c r="I7" s="718" t="e">
        <f t="shared" si="2"/>
        <v>#REF!</v>
      </c>
      <c r="J7" s="718">
        <f t="shared" si="3"/>
        <v>66000</v>
      </c>
      <c r="K7" s="719" t="e">
        <f t="shared" si="4"/>
        <v>#REF!</v>
      </c>
      <c r="L7" s="720"/>
      <c r="M7" s="720"/>
      <c r="N7" s="720"/>
      <c r="O7" s="720"/>
      <c r="P7" s="720"/>
      <c r="Q7" s="720"/>
      <c r="R7" s="720"/>
      <c r="S7" s="720"/>
      <c r="T7" s="721">
        <f t="shared" si="5"/>
        <v>0</v>
      </c>
      <c r="U7" s="731">
        <v>66000</v>
      </c>
      <c r="V7" s="729"/>
      <c r="W7" s="729"/>
      <c r="X7" s="729"/>
      <c r="Y7" s="729"/>
      <c r="Z7" s="720"/>
      <c r="AA7" s="720"/>
      <c r="AB7" s="720"/>
      <c r="AC7" s="720"/>
      <c r="AD7" s="720"/>
      <c r="AE7" s="720"/>
      <c r="AF7" s="720"/>
      <c r="AG7" s="720"/>
      <c r="AH7" s="720"/>
      <c r="AI7" s="721">
        <f t="shared" si="6"/>
        <v>66000</v>
      </c>
    </row>
    <row r="8" spans="1:36">
      <c r="A8" s="722">
        <v>5</v>
      </c>
      <c r="B8" s="723" t="s">
        <v>21</v>
      </c>
      <c r="C8" s="732" t="e">
        <f>#REF!+#REF!</f>
        <v>#REF!</v>
      </c>
      <c r="D8" s="730">
        <v>0</v>
      </c>
      <c r="E8" s="725" t="e">
        <f t="shared" si="0"/>
        <v>#REF!</v>
      </c>
      <c r="F8" s="918">
        <f>'5-คุ้มครอง(1)'!E105</f>
        <v>150000</v>
      </c>
      <c r="G8" s="726">
        <f>'5-คุ้มครอง(1)'!E106+'5-คุ้มครอง(1)'!E107</f>
        <v>391750</v>
      </c>
      <c r="H8" s="717">
        <f>SUM(F8:G8)</f>
        <v>541750</v>
      </c>
      <c r="I8" s="718" t="e">
        <f t="shared" si="2"/>
        <v>#REF!</v>
      </c>
      <c r="J8" s="718">
        <f t="shared" si="3"/>
        <v>391750</v>
      </c>
      <c r="K8" s="719" t="e">
        <f t="shared" si="4"/>
        <v>#REF!</v>
      </c>
      <c r="L8" s="720"/>
      <c r="M8" s="720"/>
      <c r="N8" s="720"/>
      <c r="O8" s="720"/>
      <c r="P8" s="720"/>
      <c r="Q8" s="720"/>
      <c r="R8" s="720"/>
      <c r="S8" s="720"/>
      <c r="T8" s="721">
        <f t="shared" si="5"/>
        <v>0</v>
      </c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8">
        <f>'5-คุ้มครอง(1)'!E106</f>
        <v>375750</v>
      </c>
      <c r="AF8" s="728">
        <f>'5-คุ้มครอง(1)'!E107</f>
        <v>16000</v>
      </c>
      <c r="AG8" s="720"/>
      <c r="AH8" s="720"/>
      <c r="AI8" s="721">
        <f t="shared" si="6"/>
        <v>391750</v>
      </c>
      <c r="AJ8" s="743">
        <v>202740</v>
      </c>
    </row>
    <row r="9" spans="1:36">
      <c r="A9" s="722">
        <v>6</v>
      </c>
      <c r="B9" s="723" t="s">
        <v>22</v>
      </c>
      <c r="C9" s="724" t="e">
        <f>#REF!+#REF!</f>
        <v>#REF!</v>
      </c>
      <c r="D9" s="730">
        <v>0</v>
      </c>
      <c r="E9" s="725" t="e">
        <f>SUM(C9:D9)</f>
        <v>#REF!</v>
      </c>
      <c r="F9" s="919">
        <f>'6-คุณภาพ(1)'!F89</f>
        <v>400000</v>
      </c>
      <c r="G9" s="715"/>
      <c r="H9" s="717">
        <f>SUM(F9:G9)</f>
        <v>400000</v>
      </c>
      <c r="I9" s="718" t="e">
        <f t="shared" si="2"/>
        <v>#REF!</v>
      </c>
      <c r="J9" s="718">
        <f t="shared" si="3"/>
        <v>0</v>
      </c>
      <c r="K9" s="719" t="e">
        <f t="shared" si="4"/>
        <v>#REF!</v>
      </c>
      <c r="L9" s="720"/>
      <c r="M9" s="720"/>
      <c r="N9" s="720"/>
      <c r="O9" s="720"/>
      <c r="P9" s="720"/>
      <c r="Q9" s="720"/>
      <c r="R9" s="720"/>
      <c r="S9" s="720"/>
      <c r="T9" s="721">
        <f t="shared" si="5"/>
        <v>0</v>
      </c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35"/>
      <c r="AF9" s="728"/>
      <c r="AG9" s="720"/>
      <c r="AH9" s="720"/>
      <c r="AI9" s="721">
        <f t="shared" si="6"/>
        <v>0</v>
      </c>
      <c r="AJ9" s="743">
        <v>143430</v>
      </c>
    </row>
    <row r="10" spans="1:36">
      <c r="A10" s="722">
        <v>7</v>
      </c>
      <c r="B10" s="723" t="s">
        <v>23</v>
      </c>
      <c r="C10" s="724" t="e">
        <f>#REF!</f>
        <v>#REF!</v>
      </c>
      <c r="D10" s="730">
        <v>0</v>
      </c>
      <c r="E10" s="725" t="e">
        <f>SUM(C10:D10)</f>
        <v>#REF!</v>
      </c>
      <c r="F10" s="715">
        <f>'7-ประกัน(1)'!F71</f>
        <v>55040</v>
      </c>
      <c r="G10" s="715">
        <f>'7-ประกัน(1)'!F69+'7-ประกัน(1)'!F70</f>
        <v>54390</v>
      </c>
      <c r="H10" s="717">
        <f>SUM(F10:G10)</f>
        <v>109430</v>
      </c>
      <c r="I10" s="718" t="e">
        <f t="shared" si="2"/>
        <v>#REF!</v>
      </c>
      <c r="J10" s="718">
        <f t="shared" si="3"/>
        <v>54390</v>
      </c>
      <c r="K10" s="719" t="e">
        <f t="shared" si="4"/>
        <v>#REF!</v>
      </c>
      <c r="L10" s="720"/>
      <c r="M10" s="720"/>
      <c r="N10" s="720"/>
      <c r="O10" s="720"/>
      <c r="P10" s="720"/>
      <c r="Q10" s="720"/>
      <c r="R10" s="720"/>
      <c r="S10" s="720"/>
      <c r="T10" s="721">
        <f t="shared" si="5"/>
        <v>0</v>
      </c>
      <c r="U10" s="720"/>
      <c r="V10" s="720"/>
      <c r="W10" s="720"/>
      <c r="X10" s="720"/>
      <c r="Y10" s="731">
        <f>'7-ประกัน(1)'!F70</f>
        <v>29950</v>
      </c>
      <c r="Z10" s="731">
        <v>24440</v>
      </c>
      <c r="AA10" s="720"/>
      <c r="AB10" s="720"/>
      <c r="AC10" s="720"/>
      <c r="AD10" s="720"/>
      <c r="AE10" s="720"/>
      <c r="AF10" s="720"/>
      <c r="AG10" s="720"/>
      <c r="AH10" s="720"/>
      <c r="AI10" s="721">
        <f t="shared" si="6"/>
        <v>54390</v>
      </c>
      <c r="AJ10" s="743">
        <v>127912</v>
      </c>
    </row>
    <row r="11" spans="1:36">
      <c r="A11" s="722">
        <v>8</v>
      </c>
      <c r="B11" s="723" t="s">
        <v>24</v>
      </c>
      <c r="C11" s="724">
        <v>0</v>
      </c>
      <c r="D11" s="724" t="e">
        <f>#REF!+#REF!</f>
        <v>#REF!</v>
      </c>
      <c r="E11" s="725" t="e">
        <f>SUM(C11:D11)</f>
        <v>#REF!</v>
      </c>
      <c r="F11" s="715">
        <f>'8-ควบคุมโรค(1)'!B128+'8-ควบคุมโรค(1)'!B131</f>
        <v>171640</v>
      </c>
      <c r="G11" s="715">
        <f>'8-ควบคุมโรค(1)'!B126+'8-ควบคุมโรค(1)'!B127+'8-ควบคุมโรค(1)'!B130</f>
        <v>1658000</v>
      </c>
      <c r="H11" s="717">
        <f>SUM(F11:G11)</f>
        <v>1829640</v>
      </c>
      <c r="I11" s="718">
        <f t="shared" si="2"/>
        <v>171640</v>
      </c>
      <c r="J11" s="718" t="e">
        <f t="shared" si="3"/>
        <v>#REF!</v>
      </c>
      <c r="K11" s="719" t="e">
        <f t="shared" si="4"/>
        <v>#REF!</v>
      </c>
      <c r="L11" s="720"/>
      <c r="M11" s="720"/>
      <c r="N11" s="720"/>
      <c r="O11" s="720"/>
      <c r="P11" s="727" t="e">
        <f>#REF!</f>
        <v>#REF!</v>
      </c>
      <c r="Q11" s="731" t="e">
        <f>#REF!</f>
        <v>#REF!</v>
      </c>
      <c r="R11" s="729"/>
      <c r="S11" s="729"/>
      <c r="T11" s="721" t="e">
        <f t="shared" si="5"/>
        <v>#REF!</v>
      </c>
      <c r="U11" s="720"/>
      <c r="V11" s="720"/>
      <c r="W11" s="720"/>
      <c r="X11" s="720"/>
      <c r="Y11" s="720"/>
      <c r="Z11" s="720"/>
      <c r="AA11" s="731">
        <f>'8-ควบคุมโรค(1)'!B130</f>
        <v>1388000</v>
      </c>
      <c r="AB11" s="731">
        <f>'8-ควบคุมโรค(1)'!B126</f>
        <v>120000</v>
      </c>
      <c r="AC11" s="731">
        <f>'8-ควบคุมโรค(1)'!B127</f>
        <v>150000</v>
      </c>
      <c r="AD11" s="729"/>
      <c r="AE11" s="729"/>
      <c r="AF11" s="729"/>
      <c r="AG11" s="729"/>
      <c r="AH11" s="729"/>
      <c r="AI11" s="721">
        <f t="shared" si="6"/>
        <v>1658000</v>
      </c>
      <c r="AJ11" s="743">
        <v>111400</v>
      </c>
    </row>
    <row r="12" spans="1:36">
      <c r="A12" s="722">
        <v>9</v>
      </c>
      <c r="B12" s="723" t="s">
        <v>25</v>
      </c>
      <c r="C12" s="724" t="e">
        <f>#REF!+#REF!+#REF!</f>
        <v>#REF!</v>
      </c>
      <c r="D12" s="724" t="e">
        <f>#REF!+#REF!</f>
        <v>#REF!</v>
      </c>
      <c r="E12" s="725" t="e">
        <f t="shared" si="0"/>
        <v>#REF!</v>
      </c>
      <c r="F12" s="715">
        <f>'9-ส่งเสริม(1)'!F26</f>
        <v>34300</v>
      </c>
      <c r="G12" s="715">
        <f>'9-ส่งเสริม(1)'!F31</f>
        <v>8000</v>
      </c>
      <c r="H12" s="717">
        <f t="shared" si="1"/>
        <v>42300</v>
      </c>
      <c r="I12" s="718" t="e">
        <f t="shared" si="2"/>
        <v>#REF!</v>
      </c>
      <c r="J12" s="718" t="e">
        <f t="shared" si="3"/>
        <v>#REF!</v>
      </c>
      <c r="K12" s="719" t="e">
        <f t="shared" si="4"/>
        <v>#REF!</v>
      </c>
      <c r="L12" s="720"/>
      <c r="M12" s="720"/>
      <c r="N12" s="728" t="e">
        <f>#REF!</f>
        <v>#REF!</v>
      </c>
      <c r="O12" s="728" t="e">
        <f>#REF!</f>
        <v>#REF!</v>
      </c>
      <c r="P12" s="720"/>
      <c r="Q12" s="720"/>
      <c r="R12" s="720"/>
      <c r="S12" s="720"/>
      <c r="T12" s="721" t="e">
        <f t="shared" si="5"/>
        <v>#REF!</v>
      </c>
      <c r="U12" s="720"/>
      <c r="V12" s="720"/>
      <c r="W12" s="720"/>
      <c r="X12" s="720"/>
      <c r="Y12" s="720"/>
      <c r="Z12" s="720"/>
      <c r="AA12" s="720"/>
      <c r="AB12" s="729"/>
      <c r="AC12" s="729"/>
      <c r="AD12" s="729"/>
      <c r="AE12" s="729"/>
      <c r="AF12" s="729"/>
      <c r="AG12" s="731">
        <v>8000</v>
      </c>
      <c r="AH12" s="729"/>
      <c r="AI12" s="721">
        <f t="shared" si="6"/>
        <v>8000</v>
      </c>
    </row>
    <row r="13" spans="1:36">
      <c r="A13" s="722">
        <v>10</v>
      </c>
      <c r="B13" s="723" t="s">
        <v>26</v>
      </c>
      <c r="C13" s="724">
        <v>0</v>
      </c>
      <c r="D13" s="724">
        <v>0</v>
      </c>
      <c r="E13" s="725">
        <f t="shared" si="0"/>
        <v>0</v>
      </c>
      <c r="F13" s="715">
        <f>'10-ทันตฯ(1)'!F26</f>
        <v>58680</v>
      </c>
      <c r="G13" s="715">
        <v>0</v>
      </c>
      <c r="H13" s="717">
        <f t="shared" si="1"/>
        <v>58680</v>
      </c>
      <c r="I13" s="718">
        <f t="shared" si="2"/>
        <v>58680</v>
      </c>
      <c r="J13" s="718">
        <f t="shared" si="3"/>
        <v>0</v>
      </c>
      <c r="K13" s="719">
        <f t="shared" si="4"/>
        <v>58680</v>
      </c>
      <c r="L13" s="720"/>
      <c r="M13" s="720"/>
      <c r="N13" s="720"/>
      <c r="O13" s="720"/>
      <c r="P13" s="720"/>
      <c r="Q13" s="720"/>
      <c r="R13" s="720"/>
      <c r="S13" s="720"/>
      <c r="T13" s="721">
        <f t="shared" si="5"/>
        <v>0</v>
      </c>
      <c r="U13" s="720"/>
      <c r="V13" s="720"/>
      <c r="W13" s="720"/>
      <c r="X13" s="720"/>
      <c r="Y13" s="720"/>
      <c r="Z13" s="720"/>
      <c r="AA13" s="720"/>
      <c r="AB13" s="729"/>
      <c r="AC13" s="729"/>
      <c r="AD13" s="729"/>
      <c r="AE13" s="729"/>
      <c r="AF13" s="729"/>
      <c r="AG13" s="729"/>
      <c r="AH13" s="729"/>
      <c r="AI13" s="721">
        <f t="shared" si="6"/>
        <v>0</v>
      </c>
    </row>
    <row r="14" spans="1:36">
      <c r="A14" s="722">
        <v>11</v>
      </c>
      <c r="B14" s="723" t="s">
        <v>27</v>
      </c>
      <c r="C14" s="724" t="e">
        <f>#REF!</f>
        <v>#REF!</v>
      </c>
      <c r="D14" s="724">
        <v>0</v>
      </c>
      <c r="E14" s="725" t="e">
        <f>SUM(C14:D14)</f>
        <v>#REF!</v>
      </c>
      <c r="F14" s="715">
        <f>'11-อน(1)'!F26</f>
        <v>131740</v>
      </c>
      <c r="G14" s="715">
        <f>'11-อน(1)'!F37</f>
        <v>661000</v>
      </c>
      <c r="H14" s="717">
        <f>SUM(F14:G14)</f>
        <v>792740</v>
      </c>
      <c r="I14" s="718" t="e">
        <f t="shared" si="2"/>
        <v>#REF!</v>
      </c>
      <c r="J14" s="718">
        <f t="shared" si="3"/>
        <v>661000</v>
      </c>
      <c r="K14" s="719" t="e">
        <f t="shared" si="4"/>
        <v>#REF!</v>
      </c>
      <c r="L14" s="729"/>
      <c r="M14" s="729"/>
      <c r="N14" s="729"/>
      <c r="O14" s="729"/>
      <c r="P14" s="720"/>
      <c r="Q14" s="720"/>
      <c r="R14" s="720"/>
      <c r="S14" s="720"/>
      <c r="T14" s="721">
        <f t="shared" si="5"/>
        <v>0</v>
      </c>
      <c r="U14" s="720"/>
      <c r="V14" s="720"/>
      <c r="W14" s="720"/>
      <c r="X14" s="720"/>
      <c r="Y14" s="720"/>
      <c r="Z14" s="720"/>
      <c r="AA14" s="720"/>
      <c r="AB14" s="729"/>
      <c r="AC14" s="729"/>
      <c r="AD14" s="731">
        <f>'11-อน(1)'!F37</f>
        <v>661000</v>
      </c>
      <c r="AE14" s="729"/>
      <c r="AF14" s="729"/>
      <c r="AG14" s="729"/>
      <c r="AH14" s="729"/>
      <c r="AI14" s="721">
        <f t="shared" si="6"/>
        <v>661000</v>
      </c>
      <c r="AJ14" s="743">
        <v>155400</v>
      </c>
    </row>
    <row r="15" spans="1:36">
      <c r="A15" s="722">
        <v>12</v>
      </c>
      <c r="B15" s="723" t="s">
        <v>28</v>
      </c>
      <c r="C15" s="724">
        <v>0</v>
      </c>
      <c r="D15" s="724">
        <v>0</v>
      </c>
      <c r="E15" s="725">
        <f t="shared" si="0"/>
        <v>0</v>
      </c>
      <c r="F15" s="715">
        <f>'12-NCD(1)'!F281</f>
        <v>334740</v>
      </c>
      <c r="G15" s="715">
        <v>5438610</v>
      </c>
      <c r="H15" s="717">
        <f t="shared" si="1"/>
        <v>5773350</v>
      </c>
      <c r="I15" s="718">
        <f t="shared" si="2"/>
        <v>334740</v>
      </c>
      <c r="J15" s="718">
        <f t="shared" si="3"/>
        <v>5438610</v>
      </c>
      <c r="K15" s="719">
        <f t="shared" si="4"/>
        <v>5773350</v>
      </c>
      <c r="L15" s="720"/>
      <c r="M15" s="720"/>
      <c r="N15" s="720"/>
      <c r="O15" s="720"/>
      <c r="P15" s="720"/>
      <c r="Q15" s="720"/>
      <c r="R15" s="720"/>
      <c r="S15" s="720"/>
      <c r="T15" s="721">
        <f t="shared" si="5"/>
        <v>0</v>
      </c>
      <c r="U15" s="720"/>
      <c r="V15" s="733">
        <v>4272610</v>
      </c>
      <c r="W15" s="733">
        <v>1000000</v>
      </c>
      <c r="X15" s="733">
        <v>166000</v>
      </c>
      <c r="Y15" s="720"/>
      <c r="Z15" s="720"/>
      <c r="AA15" s="720"/>
      <c r="AB15" s="720"/>
      <c r="AC15" s="720"/>
      <c r="AD15" s="720"/>
      <c r="AE15" s="720"/>
      <c r="AF15" s="720"/>
      <c r="AG15" s="720"/>
      <c r="AH15" s="720"/>
      <c r="AI15" s="721">
        <f t="shared" si="6"/>
        <v>5438610</v>
      </c>
      <c r="AJ15" s="743">
        <v>184740</v>
      </c>
    </row>
    <row r="16" spans="1:36">
      <c r="A16" s="722">
        <v>13</v>
      </c>
      <c r="B16" s="723" t="s">
        <v>29</v>
      </c>
      <c r="C16" s="724">
        <v>0</v>
      </c>
      <c r="D16" s="724">
        <f>28000+926400+1300000</f>
        <v>2254400</v>
      </c>
      <c r="E16" s="725">
        <f t="shared" si="0"/>
        <v>2254400</v>
      </c>
      <c r="F16" s="715"/>
      <c r="G16" s="715">
        <f>'13-แผนไทย(1)'!F61</f>
        <v>363140</v>
      </c>
      <c r="H16" s="717">
        <f t="shared" si="1"/>
        <v>363140</v>
      </c>
      <c r="I16" s="718">
        <f t="shared" si="2"/>
        <v>0</v>
      </c>
      <c r="J16" s="718">
        <f t="shared" si="3"/>
        <v>2617540</v>
      </c>
      <c r="K16" s="719">
        <f t="shared" si="4"/>
        <v>2617540</v>
      </c>
      <c r="L16" s="720"/>
      <c r="M16" s="720"/>
      <c r="N16" s="720"/>
      <c r="O16" s="720"/>
      <c r="P16" s="720"/>
      <c r="Q16" s="720"/>
      <c r="R16" s="734">
        <v>28000</v>
      </c>
      <c r="S16" s="733">
        <v>2226400</v>
      </c>
      <c r="T16" s="721">
        <f t="shared" si="5"/>
        <v>2254400</v>
      </c>
      <c r="U16" s="720"/>
      <c r="V16" s="720"/>
      <c r="W16" s="720"/>
      <c r="X16" s="720"/>
      <c r="Y16" s="720"/>
      <c r="Z16" s="720"/>
      <c r="AA16" s="720"/>
      <c r="AB16" s="720"/>
      <c r="AC16" s="720"/>
      <c r="AD16" s="720"/>
      <c r="AE16" s="720"/>
      <c r="AF16" s="720"/>
      <c r="AG16" s="720"/>
      <c r="AH16" s="733">
        <v>363140</v>
      </c>
      <c r="AI16" s="721">
        <f t="shared" si="6"/>
        <v>363140</v>
      </c>
    </row>
    <row r="17" spans="1:36">
      <c r="A17" s="722">
        <v>14</v>
      </c>
      <c r="B17" s="723" t="s">
        <v>30</v>
      </c>
      <c r="C17" s="724" t="e">
        <f>#REF!</f>
        <v>#REF!</v>
      </c>
      <c r="D17" s="724"/>
      <c r="E17" s="725" t="e">
        <f t="shared" si="0"/>
        <v>#REF!</v>
      </c>
      <c r="F17" s="715">
        <f>'14-ตรวจสอบภายใน(1)'!F9</f>
        <v>50160</v>
      </c>
      <c r="G17" s="715"/>
      <c r="H17" s="717">
        <f t="shared" si="1"/>
        <v>50160</v>
      </c>
      <c r="I17" s="718" t="e">
        <f t="shared" si="2"/>
        <v>#REF!</v>
      </c>
      <c r="J17" s="718">
        <f t="shared" si="3"/>
        <v>0</v>
      </c>
      <c r="K17" s="719" t="e">
        <f t="shared" si="4"/>
        <v>#REF!</v>
      </c>
      <c r="L17" s="720"/>
      <c r="M17" s="720"/>
      <c r="N17" s="720"/>
      <c r="O17" s="720"/>
      <c r="P17" s="720"/>
      <c r="Q17" s="720"/>
      <c r="R17" s="720"/>
      <c r="S17" s="735"/>
      <c r="T17" s="721">
        <f t="shared" si="5"/>
        <v>0</v>
      </c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35"/>
      <c r="AI17" s="721">
        <f t="shared" si="6"/>
        <v>0</v>
      </c>
      <c r="AJ17" s="743">
        <v>100000</v>
      </c>
    </row>
    <row r="18" spans="1:36" s="741" customFormat="1">
      <c r="A18" s="736"/>
      <c r="B18" s="736" t="s">
        <v>4</v>
      </c>
      <c r="C18" s="737" t="e">
        <f t="shared" ref="C18:L18" si="7">SUM(C4:C17)</f>
        <v>#REF!</v>
      </c>
      <c r="D18" s="737" t="e">
        <f t="shared" si="7"/>
        <v>#REF!</v>
      </c>
      <c r="E18" s="737" t="e">
        <f t="shared" si="7"/>
        <v>#REF!</v>
      </c>
      <c r="F18" s="738">
        <f t="shared" si="7"/>
        <v>1929580</v>
      </c>
      <c r="G18" s="738">
        <f t="shared" si="7"/>
        <v>8640890</v>
      </c>
      <c r="H18" s="738">
        <f t="shared" si="7"/>
        <v>10570470</v>
      </c>
      <c r="I18" s="739" t="e">
        <f t="shared" si="7"/>
        <v>#REF!</v>
      </c>
      <c r="J18" s="739" t="e">
        <f t="shared" si="7"/>
        <v>#REF!</v>
      </c>
      <c r="K18" s="740" t="e">
        <f t="shared" si="7"/>
        <v>#REF!</v>
      </c>
      <c r="L18" s="721" t="e">
        <f t="shared" si="7"/>
        <v>#REF!</v>
      </c>
      <c r="M18" s="721"/>
      <c r="N18" s="721"/>
      <c r="O18" s="721"/>
      <c r="P18" s="721" t="e">
        <f>SUM(P4:P17)</f>
        <v>#REF!</v>
      </c>
      <c r="Q18" s="721" t="e">
        <f>SUM(Q4:Q17)</f>
        <v>#REF!</v>
      </c>
      <c r="R18" s="721"/>
      <c r="S18" s="721">
        <f>SUM(S4:S17)</f>
        <v>2226400</v>
      </c>
      <c r="T18" s="721" t="e">
        <f>SUM(L18:S18)</f>
        <v>#REF!</v>
      </c>
      <c r="U18" s="721">
        <f t="shared" ref="U18:AH18" si="8">SUM(U4:U17)</f>
        <v>66000</v>
      </c>
      <c r="V18" s="721"/>
      <c r="W18" s="721"/>
      <c r="X18" s="721"/>
      <c r="Y18" s="721"/>
      <c r="Z18" s="721">
        <f t="shared" si="8"/>
        <v>24440</v>
      </c>
      <c r="AA18" s="721">
        <f t="shared" si="8"/>
        <v>1388000</v>
      </c>
      <c r="AB18" s="721">
        <f t="shared" si="8"/>
        <v>120000</v>
      </c>
      <c r="AC18" s="721">
        <f t="shared" si="8"/>
        <v>150000</v>
      </c>
      <c r="AD18" s="721">
        <f t="shared" si="8"/>
        <v>661000</v>
      </c>
      <c r="AE18" s="721"/>
      <c r="AF18" s="721"/>
      <c r="AG18" s="721">
        <f t="shared" si="8"/>
        <v>8000</v>
      </c>
      <c r="AH18" s="721">
        <f t="shared" si="8"/>
        <v>363140</v>
      </c>
      <c r="AI18" s="721">
        <f>SUM(AI4:AI17)</f>
        <v>8640890</v>
      </c>
      <c r="AJ18" s="1034">
        <f>SUM(AJ4:AJ17)</f>
        <v>1120522</v>
      </c>
    </row>
    <row r="19" spans="1:36">
      <c r="F19" s="744"/>
      <c r="I19" s="745"/>
      <c r="J19" s="745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topLeftCell="A98" zoomScaleSheetLayoutView="90" workbookViewId="0">
      <selection activeCell="H2" sqref="H1:U65536"/>
    </sheetView>
  </sheetViews>
  <sheetFormatPr defaultColWidth="9" defaultRowHeight="18"/>
  <cols>
    <col min="1" max="5" width="22.75" style="74" customWidth="1"/>
    <col min="6" max="6" width="10.75" style="74" bestFit="1" customWidth="1"/>
    <col min="7" max="7" width="4.375" style="74" customWidth="1"/>
    <col min="8" max="8" width="9.375" style="74" customWidth="1"/>
    <col min="9" max="20" width="3.375" style="74" customWidth="1"/>
    <col min="21" max="21" width="5.75" style="74" customWidth="1"/>
    <col min="22" max="16384" width="9" style="74"/>
  </cols>
  <sheetData>
    <row r="1" spans="1:21" ht="21.75">
      <c r="A1" s="1424" t="s">
        <v>1001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</row>
    <row r="2" spans="1:21" ht="21.75">
      <c r="A2" s="1494" t="s">
        <v>1100</v>
      </c>
      <c r="B2" s="1494"/>
      <c r="C2" s="1494"/>
      <c r="D2" s="1494"/>
      <c r="E2" s="346"/>
    </row>
    <row r="3" spans="1:21" ht="21.75">
      <c r="A3" s="1494" t="s">
        <v>1101</v>
      </c>
      <c r="B3" s="1494"/>
      <c r="C3" s="1494"/>
      <c r="D3" s="1494"/>
      <c r="E3" s="346"/>
    </row>
    <row r="4" spans="1:21" ht="21.75">
      <c r="A4" s="1534" t="s">
        <v>44</v>
      </c>
      <c r="B4" s="1436" t="s">
        <v>45</v>
      </c>
      <c r="C4" s="1436" t="s">
        <v>46</v>
      </c>
      <c r="D4" s="1436" t="s">
        <v>47</v>
      </c>
      <c r="E4" s="1436" t="s">
        <v>48</v>
      </c>
      <c r="F4" s="1436"/>
      <c r="G4" s="1436"/>
      <c r="H4" s="1534" t="s">
        <v>1424</v>
      </c>
      <c r="I4" s="1436" t="s">
        <v>50</v>
      </c>
      <c r="J4" s="1436"/>
      <c r="K4" s="1436"/>
      <c r="L4" s="1436"/>
      <c r="M4" s="1436"/>
      <c r="N4" s="1436"/>
      <c r="O4" s="1436"/>
      <c r="P4" s="1436"/>
      <c r="Q4" s="1436"/>
      <c r="R4" s="1436"/>
      <c r="S4" s="1436"/>
      <c r="T4" s="1436"/>
      <c r="U4" s="1534" t="s">
        <v>1102</v>
      </c>
    </row>
    <row r="5" spans="1:21">
      <c r="A5" s="1535"/>
      <c r="B5" s="1436"/>
      <c r="C5" s="1436"/>
      <c r="D5" s="1436"/>
      <c r="E5" s="1534" t="s">
        <v>52</v>
      </c>
      <c r="F5" s="1537" t="s">
        <v>53</v>
      </c>
      <c r="G5" s="1539" t="s">
        <v>54</v>
      </c>
      <c r="H5" s="1535"/>
      <c r="I5" s="1436" t="s">
        <v>1103</v>
      </c>
      <c r="J5" s="1436" t="s">
        <v>1104</v>
      </c>
      <c r="K5" s="1436" t="s">
        <v>1105</v>
      </c>
      <c r="L5" s="1436" t="s">
        <v>1106</v>
      </c>
      <c r="M5" s="1436" t="s">
        <v>1107</v>
      </c>
      <c r="N5" s="1436" t="s">
        <v>1108</v>
      </c>
      <c r="O5" s="1436" t="s">
        <v>1109</v>
      </c>
      <c r="P5" s="1436" t="s">
        <v>1110</v>
      </c>
      <c r="Q5" s="1436" t="s">
        <v>1111</v>
      </c>
      <c r="R5" s="1436" t="s">
        <v>1112</v>
      </c>
      <c r="S5" s="1436" t="s">
        <v>1113</v>
      </c>
      <c r="T5" s="1436" t="s">
        <v>1114</v>
      </c>
      <c r="U5" s="1535"/>
    </row>
    <row r="6" spans="1:21">
      <c r="A6" s="1536"/>
      <c r="B6" s="1436"/>
      <c r="C6" s="1436"/>
      <c r="D6" s="1436"/>
      <c r="E6" s="1536"/>
      <c r="F6" s="1538"/>
      <c r="G6" s="1539"/>
      <c r="H6" s="1536"/>
      <c r="I6" s="1436"/>
      <c r="J6" s="1436"/>
      <c r="K6" s="1436"/>
      <c r="L6" s="1436"/>
      <c r="M6" s="1436"/>
      <c r="N6" s="1436"/>
      <c r="O6" s="1436"/>
      <c r="P6" s="1436"/>
      <c r="Q6" s="1436"/>
      <c r="R6" s="1436"/>
      <c r="S6" s="1436"/>
      <c r="T6" s="1436"/>
      <c r="U6" s="1536"/>
    </row>
    <row r="7" spans="1:21" ht="21.75">
      <c r="A7" s="1634" t="s">
        <v>1115</v>
      </c>
      <c r="B7" s="1635"/>
      <c r="C7" s="1635"/>
      <c r="D7" s="1635"/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6"/>
    </row>
    <row r="8" spans="1:21" s="29" customFormat="1" ht="56.25">
      <c r="A8" s="1724" t="s">
        <v>1116</v>
      </c>
      <c r="B8" s="1727" t="s">
        <v>1117</v>
      </c>
      <c r="C8" s="1724"/>
      <c r="D8" s="1730" t="s">
        <v>1118</v>
      </c>
      <c r="E8" s="920" t="s">
        <v>1119</v>
      </c>
      <c r="F8" s="921">
        <v>3200</v>
      </c>
      <c r="G8" s="1731" t="s">
        <v>1120</v>
      </c>
      <c r="H8" s="1733" t="s">
        <v>1121</v>
      </c>
      <c r="I8" s="1735"/>
      <c r="J8" s="1735"/>
      <c r="K8" s="1737">
        <v>4800</v>
      </c>
      <c r="L8" s="1735"/>
      <c r="M8" s="1735"/>
      <c r="N8" s="1735"/>
      <c r="O8" s="1735"/>
      <c r="P8" s="1737">
        <v>4800</v>
      </c>
      <c r="Q8" s="1735"/>
      <c r="R8" s="1735"/>
      <c r="S8" s="1735"/>
      <c r="T8" s="1735"/>
      <c r="U8" s="1738" t="s">
        <v>1122</v>
      </c>
    </row>
    <row r="9" spans="1:21" s="29" customFormat="1" ht="56.25">
      <c r="A9" s="1725"/>
      <c r="B9" s="1728"/>
      <c r="C9" s="1725"/>
      <c r="D9" s="1730"/>
      <c r="E9" s="922" t="s">
        <v>1123</v>
      </c>
      <c r="F9" s="923">
        <v>6400</v>
      </c>
      <c r="G9" s="1732"/>
      <c r="H9" s="1734"/>
      <c r="I9" s="1736"/>
      <c r="J9" s="1736"/>
      <c r="K9" s="1736"/>
      <c r="L9" s="1736"/>
      <c r="M9" s="1736"/>
      <c r="N9" s="1736"/>
      <c r="O9" s="1736"/>
      <c r="P9" s="1736"/>
      <c r="Q9" s="1736"/>
      <c r="R9" s="1736"/>
      <c r="S9" s="1736"/>
      <c r="T9" s="1736"/>
      <c r="U9" s="1739"/>
    </row>
    <row r="10" spans="1:21" s="29" customFormat="1" ht="18.75">
      <c r="A10" s="1726"/>
      <c r="B10" s="1729"/>
      <c r="C10" s="1726"/>
      <c r="D10" s="1730"/>
      <c r="E10" s="927" t="s">
        <v>4</v>
      </c>
      <c r="F10" s="928">
        <f>SUM(F8:F9)</f>
        <v>9600</v>
      </c>
      <c r="G10" s="925"/>
      <c r="H10" s="925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1740"/>
    </row>
    <row r="11" spans="1:21" s="29" customFormat="1" ht="37.5">
      <c r="A11" s="1455" t="s">
        <v>1124</v>
      </c>
      <c r="B11" s="1493"/>
      <c r="C11" s="1493"/>
      <c r="D11" s="1455" t="s">
        <v>1125</v>
      </c>
      <c r="E11" s="202" t="s">
        <v>1126</v>
      </c>
      <c r="F11" s="203">
        <v>19440</v>
      </c>
      <c r="G11" s="361" t="s">
        <v>77</v>
      </c>
      <c r="H11" s="362" t="s">
        <v>71</v>
      </c>
      <c r="I11" s="363">
        <v>1620</v>
      </c>
      <c r="J11" s="364">
        <v>1620</v>
      </c>
      <c r="K11" s="365">
        <v>1620</v>
      </c>
      <c r="L11" s="364">
        <v>1620</v>
      </c>
      <c r="M11" s="364">
        <v>1620</v>
      </c>
      <c r="N11" s="364">
        <v>1620</v>
      </c>
      <c r="O11" s="364">
        <v>1620</v>
      </c>
      <c r="P11" s="364">
        <v>1620</v>
      </c>
      <c r="Q11" s="364">
        <v>1620</v>
      </c>
      <c r="R11" s="365">
        <v>1620</v>
      </c>
      <c r="S11" s="364">
        <v>1620</v>
      </c>
      <c r="T11" s="364">
        <v>1620</v>
      </c>
      <c r="U11" s="1449" t="s">
        <v>1122</v>
      </c>
    </row>
    <row r="12" spans="1:21" s="29" customFormat="1" ht="18.75">
      <c r="A12" s="1457"/>
      <c r="B12" s="1474"/>
      <c r="C12" s="1474"/>
      <c r="D12" s="1457"/>
      <c r="E12" s="366" t="s">
        <v>4</v>
      </c>
      <c r="F12" s="367">
        <f>SUM(F11:F11)</f>
        <v>19440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451"/>
    </row>
    <row r="13" spans="1:21" s="29" customFormat="1" ht="56.25">
      <c r="A13" s="1746" t="s">
        <v>1127</v>
      </c>
      <c r="B13" s="1746" t="s">
        <v>1128</v>
      </c>
      <c r="C13" s="1746"/>
      <c r="D13" s="1763" t="s">
        <v>1129</v>
      </c>
      <c r="E13" s="937" t="s">
        <v>1130</v>
      </c>
      <c r="F13" s="938">
        <v>4000</v>
      </c>
      <c r="G13" s="1750" t="s">
        <v>77</v>
      </c>
      <c r="H13" s="1720" t="s">
        <v>1131</v>
      </c>
      <c r="I13" s="1723"/>
      <c r="J13" s="1723"/>
      <c r="K13" s="1723"/>
      <c r="L13" s="1723"/>
      <c r="M13" s="1723"/>
      <c r="N13" s="1723"/>
      <c r="O13" s="1723"/>
      <c r="P13" s="1723"/>
      <c r="Q13" s="1723"/>
      <c r="R13" s="1723"/>
      <c r="S13" s="1723"/>
      <c r="T13" s="1723"/>
      <c r="U13" s="1720" t="s">
        <v>1132</v>
      </c>
    </row>
    <row r="14" spans="1:21" s="29" customFormat="1" ht="37.5">
      <c r="A14" s="1746"/>
      <c r="B14" s="1746"/>
      <c r="C14" s="1746"/>
      <c r="D14" s="1746"/>
      <c r="E14" s="939" t="s">
        <v>1133</v>
      </c>
      <c r="F14" s="940">
        <v>8000</v>
      </c>
      <c r="G14" s="1751"/>
      <c r="H14" s="1721"/>
      <c r="I14" s="1723"/>
      <c r="J14" s="1723"/>
      <c r="K14" s="1723"/>
      <c r="L14" s="1723"/>
      <c r="M14" s="1723"/>
      <c r="N14" s="1723"/>
      <c r="O14" s="1723"/>
      <c r="P14" s="1723"/>
      <c r="Q14" s="1723"/>
      <c r="R14" s="1723"/>
      <c r="S14" s="1723"/>
      <c r="T14" s="1723"/>
      <c r="U14" s="1721"/>
    </row>
    <row r="15" spans="1:21" s="29" customFormat="1" ht="37.5">
      <c r="A15" s="1746"/>
      <c r="B15" s="1746"/>
      <c r="C15" s="1746"/>
      <c r="D15" s="1763"/>
      <c r="E15" s="941" t="s">
        <v>1134</v>
      </c>
      <c r="F15" s="940">
        <v>1800</v>
      </c>
      <c r="G15" s="1764"/>
      <c r="H15" s="1721"/>
      <c r="I15" s="1723"/>
      <c r="J15" s="1723"/>
      <c r="K15" s="1723"/>
      <c r="L15" s="1723"/>
      <c r="M15" s="1723"/>
      <c r="N15" s="1723"/>
      <c r="O15" s="1723"/>
      <c r="P15" s="1723"/>
      <c r="Q15" s="1723"/>
      <c r="R15" s="1723"/>
      <c r="S15" s="1723"/>
      <c r="T15" s="1723"/>
      <c r="U15" s="1721"/>
    </row>
    <row r="16" spans="1:21" s="29" customFormat="1" ht="37.5">
      <c r="A16" s="1746"/>
      <c r="B16" s="1746"/>
      <c r="C16" s="1746"/>
      <c r="D16" s="1746"/>
      <c r="E16" s="942" t="s">
        <v>1135</v>
      </c>
      <c r="F16" s="940">
        <v>7200</v>
      </c>
      <c r="G16" s="1751"/>
      <c r="H16" s="1721"/>
      <c r="I16" s="1723"/>
      <c r="J16" s="1723"/>
      <c r="K16" s="1723"/>
      <c r="L16" s="1723"/>
      <c r="M16" s="1723"/>
      <c r="N16" s="1723"/>
      <c r="O16" s="1723"/>
      <c r="P16" s="1723"/>
      <c r="Q16" s="1723"/>
      <c r="R16" s="1723"/>
      <c r="S16" s="1723"/>
      <c r="T16" s="1723"/>
      <c r="U16" s="1721"/>
    </row>
    <row r="17" spans="1:21" s="29" customFormat="1" ht="18.75">
      <c r="A17" s="1746"/>
      <c r="B17" s="1746"/>
      <c r="C17" s="1746"/>
      <c r="D17" s="1746"/>
      <c r="E17" s="939" t="s">
        <v>1136</v>
      </c>
      <c r="F17" s="940">
        <v>5000</v>
      </c>
      <c r="G17" s="1751"/>
      <c r="H17" s="1721"/>
      <c r="I17" s="1723"/>
      <c r="J17" s="1723"/>
      <c r="K17" s="1723"/>
      <c r="L17" s="1723"/>
      <c r="M17" s="1723"/>
      <c r="N17" s="1723"/>
      <c r="O17" s="1723"/>
      <c r="P17" s="1723"/>
      <c r="Q17" s="1723"/>
      <c r="R17" s="1723"/>
      <c r="S17" s="1723"/>
      <c r="T17" s="1723"/>
      <c r="U17" s="1721"/>
    </row>
    <row r="18" spans="1:21" s="29" customFormat="1" ht="18.75">
      <c r="A18" s="1746"/>
      <c r="B18" s="1746"/>
      <c r="C18" s="1746"/>
      <c r="D18" s="1746"/>
      <c r="E18" s="943" t="s">
        <v>1137</v>
      </c>
      <c r="F18" s="944">
        <v>4000</v>
      </c>
      <c r="G18" s="1751"/>
      <c r="H18" s="1721"/>
      <c r="I18" s="1723"/>
      <c r="J18" s="1723"/>
      <c r="K18" s="1723"/>
      <c r="L18" s="1723"/>
      <c r="M18" s="1723"/>
      <c r="N18" s="1723"/>
      <c r="O18" s="1723"/>
      <c r="P18" s="1723"/>
      <c r="Q18" s="1723"/>
      <c r="R18" s="1723"/>
      <c r="S18" s="1723"/>
      <c r="T18" s="1723"/>
      <c r="U18" s="1721"/>
    </row>
    <row r="19" spans="1:21" s="29" customFormat="1" ht="18.75">
      <c r="A19" s="1746"/>
      <c r="B19" s="1746"/>
      <c r="C19" s="1746"/>
      <c r="D19" s="1746"/>
      <c r="E19" s="945" t="s">
        <v>702</v>
      </c>
      <c r="F19" s="946">
        <v>30000</v>
      </c>
      <c r="G19" s="1752"/>
      <c r="H19" s="1722"/>
      <c r="I19" s="1723"/>
      <c r="J19" s="1723"/>
      <c r="K19" s="1723"/>
      <c r="L19" s="1723"/>
      <c r="M19" s="1723"/>
      <c r="N19" s="1723"/>
      <c r="O19" s="1723"/>
      <c r="P19" s="1723"/>
      <c r="Q19" s="1723"/>
      <c r="R19" s="1723"/>
      <c r="S19" s="1723"/>
      <c r="T19" s="1723"/>
      <c r="U19" s="1722"/>
    </row>
    <row r="20" spans="1:21" s="29" customFormat="1" ht="56.25">
      <c r="A20" s="1440" t="s">
        <v>1138</v>
      </c>
      <c r="B20" s="1440" t="s">
        <v>1139</v>
      </c>
      <c r="C20" s="1440"/>
      <c r="D20" s="1440" t="s">
        <v>1140</v>
      </c>
      <c r="E20" s="368" t="s">
        <v>1141</v>
      </c>
      <c r="F20" s="338">
        <v>4000</v>
      </c>
      <c r="G20" s="1741" t="s">
        <v>1120</v>
      </c>
      <c r="H20" s="1524" t="s">
        <v>1142</v>
      </c>
      <c r="I20" s="1475"/>
      <c r="J20" s="1475"/>
      <c r="K20" s="1475"/>
      <c r="L20" s="1757"/>
      <c r="M20" s="1760"/>
      <c r="N20" s="1475"/>
      <c r="O20" s="1475"/>
      <c r="P20" s="1475"/>
      <c r="Q20" s="1475"/>
      <c r="R20" s="1475"/>
      <c r="S20" s="1475"/>
      <c r="T20" s="1475"/>
      <c r="U20" s="1747" t="s">
        <v>1143</v>
      </c>
    </row>
    <row r="21" spans="1:21" s="29" customFormat="1" ht="75">
      <c r="A21" s="1440"/>
      <c r="B21" s="1440"/>
      <c r="C21" s="1440"/>
      <c r="D21" s="1440"/>
      <c r="E21" s="369" t="s">
        <v>1144</v>
      </c>
      <c r="F21" s="340">
        <v>64000</v>
      </c>
      <c r="G21" s="1742"/>
      <c r="H21" s="1744"/>
      <c r="I21" s="1476"/>
      <c r="J21" s="1476"/>
      <c r="K21" s="1476"/>
      <c r="L21" s="1758"/>
      <c r="M21" s="1761"/>
      <c r="N21" s="1476"/>
      <c r="O21" s="1476"/>
      <c r="P21" s="1476"/>
      <c r="Q21" s="1476"/>
      <c r="R21" s="1476"/>
      <c r="S21" s="1476"/>
      <c r="T21" s="1476"/>
      <c r="U21" s="1748"/>
    </row>
    <row r="22" spans="1:21" s="29" customFormat="1" ht="37.5">
      <c r="A22" s="1440"/>
      <c r="B22" s="1440"/>
      <c r="C22" s="1440"/>
      <c r="D22" s="1440"/>
      <c r="E22" s="369" t="s">
        <v>1145</v>
      </c>
      <c r="F22" s="340">
        <v>1200</v>
      </c>
      <c r="G22" s="1742"/>
      <c r="H22" s="1744"/>
      <c r="I22" s="1476"/>
      <c r="J22" s="1476"/>
      <c r="K22" s="1476"/>
      <c r="L22" s="1758"/>
      <c r="M22" s="1761"/>
      <c r="N22" s="1476"/>
      <c r="O22" s="1476"/>
      <c r="P22" s="1476"/>
      <c r="Q22" s="1476"/>
      <c r="R22" s="1476"/>
      <c r="S22" s="1476"/>
      <c r="T22" s="1476"/>
      <c r="U22" s="1748"/>
    </row>
    <row r="23" spans="1:21" s="29" customFormat="1" ht="18.75">
      <c r="A23" s="1440"/>
      <c r="B23" s="1440"/>
      <c r="C23" s="1440"/>
      <c r="D23" s="1440"/>
      <c r="E23" s="370" t="s">
        <v>1137</v>
      </c>
      <c r="F23" s="341">
        <v>9000</v>
      </c>
      <c r="G23" s="1743"/>
      <c r="H23" s="1745"/>
      <c r="I23" s="1477"/>
      <c r="J23" s="1477"/>
      <c r="K23" s="1477"/>
      <c r="L23" s="1759"/>
      <c r="M23" s="1762"/>
      <c r="N23" s="1477"/>
      <c r="O23" s="1477"/>
      <c r="P23" s="1477"/>
      <c r="Q23" s="1477"/>
      <c r="R23" s="1477"/>
      <c r="S23" s="1477"/>
      <c r="T23" s="1477"/>
      <c r="U23" s="1749"/>
    </row>
    <row r="24" spans="1:21" s="29" customFormat="1" ht="18.75">
      <c r="A24" s="1440"/>
      <c r="B24" s="1440"/>
      <c r="C24" s="1440"/>
      <c r="D24" s="1440"/>
      <c r="E24" s="371" t="s">
        <v>4</v>
      </c>
      <c r="F24" s="280">
        <v>78200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37.5">
      <c r="A25" s="1746" t="s">
        <v>1146</v>
      </c>
      <c r="B25" s="1746" t="s">
        <v>1147</v>
      </c>
      <c r="C25" s="1746"/>
      <c r="D25" s="1746" t="s">
        <v>1148</v>
      </c>
      <c r="E25" s="947" t="s">
        <v>1149</v>
      </c>
      <c r="F25" s="938">
        <v>2000</v>
      </c>
      <c r="G25" s="1750" t="s">
        <v>77</v>
      </c>
      <c r="H25" s="1753">
        <v>22616</v>
      </c>
      <c r="I25" s="1754"/>
      <c r="J25" s="1754"/>
      <c r="K25" s="1765">
        <v>19400</v>
      </c>
      <c r="L25" s="1754"/>
      <c r="M25" s="1754"/>
      <c r="N25" s="1754"/>
      <c r="O25" s="1754"/>
      <c r="P25" s="1754"/>
      <c r="Q25" s="1754"/>
      <c r="R25" s="1754"/>
      <c r="S25" s="1754"/>
      <c r="T25" s="1754"/>
      <c r="U25" s="1768" t="s">
        <v>1150</v>
      </c>
    </row>
    <row r="26" spans="1:21" ht="37.5">
      <c r="A26" s="1746"/>
      <c r="B26" s="1746"/>
      <c r="C26" s="1746"/>
      <c r="D26" s="1746"/>
      <c r="E26" s="939" t="s">
        <v>1151</v>
      </c>
      <c r="F26" s="940">
        <v>4000</v>
      </c>
      <c r="G26" s="1751"/>
      <c r="H26" s="1721"/>
      <c r="I26" s="1755"/>
      <c r="J26" s="1755"/>
      <c r="K26" s="1766"/>
      <c r="L26" s="1755"/>
      <c r="M26" s="1755"/>
      <c r="N26" s="1755"/>
      <c r="O26" s="1755"/>
      <c r="P26" s="1755"/>
      <c r="Q26" s="1755"/>
      <c r="R26" s="1755"/>
      <c r="S26" s="1755"/>
      <c r="T26" s="1755"/>
      <c r="U26" s="1769"/>
    </row>
    <row r="27" spans="1:21" ht="37.5">
      <c r="A27" s="1746"/>
      <c r="B27" s="1746"/>
      <c r="C27" s="1746"/>
      <c r="D27" s="1746"/>
      <c r="E27" s="939" t="s">
        <v>1152</v>
      </c>
      <c r="F27" s="940">
        <v>2400</v>
      </c>
      <c r="G27" s="1751"/>
      <c r="H27" s="1721"/>
      <c r="I27" s="1755"/>
      <c r="J27" s="1755"/>
      <c r="K27" s="1766"/>
      <c r="L27" s="1755"/>
      <c r="M27" s="1755"/>
      <c r="N27" s="1755"/>
      <c r="O27" s="1755"/>
      <c r="P27" s="1755"/>
      <c r="Q27" s="1755"/>
      <c r="R27" s="1755"/>
      <c r="S27" s="1755"/>
      <c r="T27" s="1755"/>
      <c r="U27" s="1769"/>
    </row>
    <row r="28" spans="1:21" ht="56.25">
      <c r="A28" s="1746"/>
      <c r="B28" s="1746"/>
      <c r="C28" s="1746"/>
      <c r="D28" s="1746"/>
      <c r="E28" s="948" t="s">
        <v>1153</v>
      </c>
      <c r="F28" s="940">
        <v>3600</v>
      </c>
      <c r="G28" s="1751"/>
      <c r="H28" s="1721"/>
      <c r="I28" s="1755"/>
      <c r="J28" s="1755"/>
      <c r="K28" s="1766"/>
      <c r="L28" s="1755"/>
      <c r="M28" s="1755"/>
      <c r="N28" s="1755"/>
      <c r="O28" s="1755"/>
      <c r="P28" s="1755"/>
      <c r="Q28" s="1755"/>
      <c r="R28" s="1755"/>
      <c r="S28" s="1755"/>
      <c r="T28" s="1755"/>
      <c r="U28" s="1769"/>
    </row>
    <row r="29" spans="1:21" ht="37.5">
      <c r="A29" s="1746"/>
      <c r="B29" s="1746"/>
      <c r="C29" s="1746"/>
      <c r="D29" s="1746"/>
      <c r="E29" s="949" t="s">
        <v>1154</v>
      </c>
      <c r="F29" s="940">
        <v>1400</v>
      </c>
      <c r="G29" s="1751"/>
      <c r="H29" s="1721"/>
      <c r="I29" s="1755"/>
      <c r="J29" s="1755"/>
      <c r="K29" s="1766"/>
      <c r="L29" s="1755"/>
      <c r="M29" s="1755"/>
      <c r="N29" s="1755"/>
      <c r="O29" s="1755"/>
      <c r="P29" s="1755"/>
      <c r="Q29" s="1755"/>
      <c r="R29" s="1755"/>
      <c r="S29" s="1755"/>
      <c r="T29" s="1755"/>
      <c r="U29" s="1769"/>
    </row>
    <row r="30" spans="1:21" ht="18.75">
      <c r="A30" s="1746"/>
      <c r="B30" s="1746"/>
      <c r="C30" s="1746"/>
      <c r="D30" s="1746"/>
      <c r="E30" s="947" t="s">
        <v>1155</v>
      </c>
      <c r="F30" s="940">
        <v>3000</v>
      </c>
      <c r="G30" s="1751"/>
      <c r="H30" s="1721"/>
      <c r="I30" s="1755"/>
      <c r="J30" s="1755"/>
      <c r="K30" s="1766"/>
      <c r="L30" s="1755"/>
      <c r="M30" s="1755"/>
      <c r="N30" s="1755"/>
      <c r="O30" s="1755"/>
      <c r="P30" s="1755"/>
      <c r="Q30" s="1755"/>
      <c r="R30" s="1755"/>
      <c r="S30" s="1755"/>
      <c r="T30" s="1755"/>
      <c r="U30" s="1769"/>
    </row>
    <row r="31" spans="1:21" ht="18.75">
      <c r="A31" s="1746"/>
      <c r="B31" s="1746"/>
      <c r="C31" s="1746"/>
      <c r="D31" s="1746"/>
      <c r="E31" s="939" t="s">
        <v>1137</v>
      </c>
      <c r="F31" s="940">
        <v>2000</v>
      </c>
      <c r="G31" s="1751"/>
      <c r="H31" s="1721"/>
      <c r="I31" s="1755"/>
      <c r="J31" s="1755"/>
      <c r="K31" s="1766"/>
      <c r="L31" s="1755"/>
      <c r="M31" s="1755"/>
      <c r="N31" s="1755"/>
      <c r="O31" s="1755"/>
      <c r="P31" s="1755"/>
      <c r="Q31" s="1755"/>
      <c r="R31" s="1755"/>
      <c r="S31" s="1755"/>
      <c r="T31" s="1755"/>
      <c r="U31" s="1769"/>
    </row>
    <row r="32" spans="1:21" ht="18.75">
      <c r="A32" s="1746"/>
      <c r="B32" s="1746"/>
      <c r="C32" s="1746"/>
      <c r="D32" s="1746"/>
      <c r="E32" s="943" t="s">
        <v>992</v>
      </c>
      <c r="F32" s="944">
        <v>1000</v>
      </c>
      <c r="G32" s="1751"/>
      <c r="H32" s="1721"/>
      <c r="I32" s="1755"/>
      <c r="J32" s="1755"/>
      <c r="K32" s="1766"/>
      <c r="L32" s="1755"/>
      <c r="M32" s="1755"/>
      <c r="N32" s="1755"/>
      <c r="O32" s="1755"/>
      <c r="P32" s="1755"/>
      <c r="Q32" s="1755"/>
      <c r="R32" s="1755"/>
      <c r="S32" s="1755"/>
      <c r="T32" s="1755"/>
      <c r="U32" s="1769"/>
    </row>
    <row r="33" spans="1:21" ht="18.75">
      <c r="A33" s="1746"/>
      <c r="B33" s="1746"/>
      <c r="C33" s="1746"/>
      <c r="D33" s="1746"/>
      <c r="E33" s="950" t="s">
        <v>4</v>
      </c>
      <c r="F33" s="946">
        <v>19400</v>
      </c>
      <c r="G33" s="1752"/>
      <c r="H33" s="1722"/>
      <c r="I33" s="1756"/>
      <c r="J33" s="1756"/>
      <c r="K33" s="1767"/>
      <c r="L33" s="1756"/>
      <c r="M33" s="1756"/>
      <c r="N33" s="1756"/>
      <c r="O33" s="1756"/>
      <c r="P33" s="1756"/>
      <c r="Q33" s="1756"/>
      <c r="R33" s="1756"/>
      <c r="S33" s="1756"/>
      <c r="T33" s="1756"/>
      <c r="U33" s="1770"/>
    </row>
    <row r="34" spans="1:21" ht="21.75">
      <c r="A34" s="1634" t="s">
        <v>1156</v>
      </c>
      <c r="B34" s="1635"/>
      <c r="C34" s="1635"/>
      <c r="D34" s="1635"/>
      <c r="E34" s="1635"/>
      <c r="F34" s="1635"/>
      <c r="G34" s="1635"/>
      <c r="H34" s="1635"/>
      <c r="I34" s="1635"/>
      <c r="J34" s="1635"/>
      <c r="K34" s="1635"/>
      <c r="L34" s="1635"/>
      <c r="M34" s="1635"/>
      <c r="N34" s="1635"/>
      <c r="O34" s="1635"/>
      <c r="P34" s="1635"/>
      <c r="Q34" s="1635"/>
      <c r="R34" s="1635"/>
      <c r="S34" s="1635"/>
      <c r="T34" s="1635"/>
      <c r="U34" s="1636"/>
    </row>
    <row r="35" spans="1:21" s="29" customFormat="1" ht="18.75">
      <c r="A35" s="1455" t="s">
        <v>1427</v>
      </c>
      <c r="B35" s="1455" t="s">
        <v>1157</v>
      </c>
      <c r="C35" s="1493"/>
      <c r="D35" s="1455" t="s">
        <v>1158</v>
      </c>
      <c r="E35" s="372" t="s">
        <v>1159</v>
      </c>
      <c r="F35" s="203">
        <v>106800</v>
      </c>
      <c r="G35" s="1780" t="s">
        <v>1160</v>
      </c>
      <c r="H35" s="1783">
        <v>22616</v>
      </c>
      <c r="I35" s="1475"/>
      <c r="J35" s="1775"/>
      <c r="K35" s="1775">
        <v>106800</v>
      </c>
      <c r="L35" s="1475"/>
      <c r="M35" s="1475"/>
      <c r="N35" s="1475"/>
      <c r="O35" s="1475"/>
      <c r="P35" s="1475"/>
      <c r="Q35" s="1475"/>
      <c r="R35" s="1475"/>
      <c r="S35" s="1475"/>
      <c r="T35" s="1475"/>
      <c r="U35" s="1524" t="s">
        <v>1161</v>
      </c>
    </row>
    <row r="36" spans="1:21" s="29" customFormat="1" ht="37.5">
      <c r="A36" s="1456"/>
      <c r="B36" s="1456"/>
      <c r="C36" s="1473"/>
      <c r="D36" s="1456"/>
      <c r="E36" s="373" t="s">
        <v>1162</v>
      </c>
      <c r="F36" s="338">
        <v>8400</v>
      </c>
      <c r="G36" s="1781"/>
      <c r="H36" s="1525"/>
      <c r="I36" s="1476"/>
      <c r="J36" s="1776"/>
      <c r="K36" s="1776"/>
      <c r="L36" s="1476"/>
      <c r="M36" s="1476"/>
      <c r="N36" s="1476"/>
      <c r="O36" s="1476"/>
      <c r="P36" s="1476"/>
      <c r="Q36" s="1476"/>
      <c r="R36" s="1476"/>
      <c r="S36" s="1476"/>
      <c r="T36" s="1476"/>
      <c r="U36" s="1744"/>
    </row>
    <row r="37" spans="1:21" s="29" customFormat="1" ht="37.5">
      <c r="A37" s="1456"/>
      <c r="B37" s="1456"/>
      <c r="C37" s="1473"/>
      <c r="D37" s="1456"/>
      <c r="E37" s="374" t="s">
        <v>1163</v>
      </c>
      <c r="F37" s="340">
        <v>25200</v>
      </c>
      <c r="G37" s="1781"/>
      <c r="H37" s="1525"/>
      <c r="I37" s="1476"/>
      <c r="J37" s="1776"/>
      <c r="K37" s="1776"/>
      <c r="L37" s="1476"/>
      <c r="M37" s="1476"/>
      <c r="N37" s="1476"/>
      <c r="O37" s="1476"/>
      <c r="P37" s="1476"/>
      <c r="Q37" s="1476"/>
      <c r="R37" s="1476"/>
      <c r="S37" s="1476"/>
      <c r="T37" s="1476"/>
      <c r="U37" s="1744"/>
    </row>
    <row r="38" spans="1:21" s="29" customFormat="1" ht="37.5">
      <c r="A38" s="1456"/>
      <c r="B38" s="1456"/>
      <c r="C38" s="1473"/>
      <c r="D38" s="1456"/>
      <c r="E38" s="374" t="s">
        <v>1164</v>
      </c>
      <c r="F38" s="340">
        <v>14700</v>
      </c>
      <c r="G38" s="1781"/>
      <c r="H38" s="1525"/>
      <c r="I38" s="1476"/>
      <c r="J38" s="1776"/>
      <c r="K38" s="1776"/>
      <c r="L38" s="1476"/>
      <c r="M38" s="1476"/>
      <c r="N38" s="1476"/>
      <c r="O38" s="1476"/>
      <c r="P38" s="1476"/>
      <c r="Q38" s="1476"/>
      <c r="R38" s="1476"/>
      <c r="S38" s="1476"/>
      <c r="T38" s="1476"/>
      <c r="U38" s="1744"/>
    </row>
    <row r="39" spans="1:21" s="29" customFormat="1" ht="37.5">
      <c r="A39" s="1456"/>
      <c r="B39" s="1456"/>
      <c r="C39" s="1473"/>
      <c r="D39" s="1456"/>
      <c r="E39" s="375" t="s">
        <v>1165</v>
      </c>
      <c r="F39" s="376">
        <v>6400</v>
      </c>
      <c r="G39" s="1781"/>
      <c r="H39" s="1525"/>
      <c r="I39" s="1476"/>
      <c r="J39" s="1776"/>
      <c r="K39" s="1776"/>
      <c r="L39" s="1476"/>
      <c r="M39" s="1476"/>
      <c r="N39" s="1476"/>
      <c r="O39" s="1476"/>
      <c r="P39" s="1476"/>
      <c r="Q39" s="1476"/>
      <c r="R39" s="1476"/>
      <c r="S39" s="1476"/>
      <c r="T39" s="1476"/>
      <c r="U39" s="1744"/>
    </row>
    <row r="40" spans="1:21" s="29" customFormat="1" ht="37.5">
      <c r="A40" s="1456"/>
      <c r="B40" s="1456"/>
      <c r="C40" s="1473"/>
      <c r="D40" s="1456"/>
      <c r="E40" s="374" t="s">
        <v>1166</v>
      </c>
      <c r="F40" s="340">
        <v>4000</v>
      </c>
      <c r="G40" s="1781"/>
      <c r="H40" s="1525"/>
      <c r="I40" s="1476"/>
      <c r="J40" s="1776"/>
      <c r="K40" s="1776"/>
      <c r="L40" s="1476"/>
      <c r="M40" s="1476"/>
      <c r="N40" s="1476"/>
      <c r="O40" s="1476"/>
      <c r="P40" s="1476"/>
      <c r="Q40" s="1476"/>
      <c r="R40" s="1476"/>
      <c r="S40" s="1476"/>
      <c r="T40" s="1476"/>
      <c r="U40" s="1744"/>
    </row>
    <row r="41" spans="1:21" s="29" customFormat="1" ht="37.5">
      <c r="A41" s="1456"/>
      <c r="B41" s="1456"/>
      <c r="C41" s="1473"/>
      <c r="D41" s="1438"/>
      <c r="E41" s="374" t="s">
        <v>1167</v>
      </c>
      <c r="F41" s="340">
        <v>3600</v>
      </c>
      <c r="G41" s="1796"/>
      <c r="H41" s="1525"/>
      <c r="I41" s="1476"/>
      <c r="J41" s="1776"/>
      <c r="K41" s="1776"/>
      <c r="L41" s="1476"/>
      <c r="M41" s="1476"/>
      <c r="N41" s="1476"/>
      <c r="O41" s="1476"/>
      <c r="P41" s="1476"/>
      <c r="Q41" s="1476"/>
      <c r="R41" s="1476"/>
      <c r="S41" s="1476"/>
      <c r="T41" s="1476"/>
      <c r="U41" s="1744"/>
    </row>
    <row r="42" spans="1:21" s="29" customFormat="1" ht="37.5">
      <c r="A42" s="1456"/>
      <c r="B42" s="1456"/>
      <c r="C42" s="1473"/>
      <c r="D42" s="1456"/>
      <c r="E42" s="374" t="s">
        <v>1168</v>
      </c>
      <c r="F42" s="340">
        <v>7200</v>
      </c>
      <c r="G42" s="1781"/>
      <c r="H42" s="1525"/>
      <c r="I42" s="1476"/>
      <c r="J42" s="1776"/>
      <c r="K42" s="1776"/>
      <c r="L42" s="1476"/>
      <c r="M42" s="1476"/>
      <c r="N42" s="1476"/>
      <c r="O42" s="1476"/>
      <c r="P42" s="1476"/>
      <c r="Q42" s="1476"/>
      <c r="R42" s="1476"/>
      <c r="S42" s="1476"/>
      <c r="T42" s="1476"/>
      <c r="U42" s="1744"/>
    </row>
    <row r="43" spans="1:21" s="29" customFormat="1" ht="37.5">
      <c r="A43" s="1456"/>
      <c r="B43" s="1456"/>
      <c r="C43" s="1473"/>
      <c r="D43" s="1456"/>
      <c r="E43" s="374" t="s">
        <v>1169</v>
      </c>
      <c r="F43" s="340">
        <v>9600</v>
      </c>
      <c r="G43" s="1781"/>
      <c r="H43" s="1525"/>
      <c r="I43" s="1476"/>
      <c r="J43" s="1776"/>
      <c r="K43" s="1776"/>
      <c r="L43" s="1476"/>
      <c r="M43" s="1476"/>
      <c r="N43" s="1476"/>
      <c r="O43" s="1476"/>
      <c r="P43" s="1476"/>
      <c r="Q43" s="1476"/>
      <c r="R43" s="1476"/>
      <c r="S43" s="1476"/>
      <c r="T43" s="1476"/>
      <c r="U43" s="1744"/>
    </row>
    <row r="44" spans="1:21" s="29" customFormat="1" ht="37.5">
      <c r="A44" s="1456"/>
      <c r="B44" s="1456"/>
      <c r="C44" s="1473"/>
      <c r="D44" s="1456"/>
      <c r="E44" s="374" t="s">
        <v>1170</v>
      </c>
      <c r="F44" s="340">
        <v>27200</v>
      </c>
      <c r="G44" s="1781"/>
      <c r="H44" s="1525"/>
      <c r="I44" s="1476"/>
      <c r="J44" s="1776"/>
      <c r="K44" s="1776"/>
      <c r="L44" s="1476"/>
      <c r="M44" s="1476"/>
      <c r="N44" s="1476"/>
      <c r="O44" s="1476"/>
      <c r="P44" s="1476"/>
      <c r="Q44" s="1476"/>
      <c r="R44" s="1476"/>
      <c r="S44" s="1476"/>
      <c r="T44" s="1476"/>
      <c r="U44" s="1744"/>
    </row>
    <row r="45" spans="1:21" s="29" customFormat="1" ht="18.75">
      <c r="A45" s="1456"/>
      <c r="B45" s="1456"/>
      <c r="C45" s="1473"/>
      <c r="D45" s="1456"/>
      <c r="E45" s="374" t="s">
        <v>1137</v>
      </c>
      <c r="F45" s="340">
        <v>500</v>
      </c>
      <c r="G45" s="1781"/>
      <c r="H45" s="1525"/>
      <c r="I45" s="1476"/>
      <c r="J45" s="1776"/>
      <c r="K45" s="1776"/>
      <c r="L45" s="1476"/>
      <c r="M45" s="1476"/>
      <c r="N45" s="1476"/>
      <c r="O45" s="1476"/>
      <c r="P45" s="1476"/>
      <c r="Q45" s="1476"/>
      <c r="R45" s="1476"/>
      <c r="S45" s="1476"/>
      <c r="T45" s="1476"/>
      <c r="U45" s="1745"/>
    </row>
    <row r="46" spans="1:21" s="29" customFormat="1" ht="18.75">
      <c r="A46" s="1456"/>
      <c r="B46" s="1456"/>
      <c r="C46" s="1473"/>
      <c r="D46" s="1456"/>
      <c r="E46" s="372" t="s">
        <v>1171</v>
      </c>
      <c r="F46" s="203">
        <v>9000</v>
      </c>
      <c r="G46" s="1780" t="s">
        <v>1160</v>
      </c>
      <c r="H46" s="1783">
        <v>22616</v>
      </c>
      <c r="I46" s="1771"/>
      <c r="J46" s="1771"/>
      <c r="K46" s="1784">
        <v>9000</v>
      </c>
      <c r="L46" s="1475"/>
      <c r="M46" s="1475"/>
      <c r="N46" s="1475"/>
      <c r="O46" s="1475"/>
      <c r="P46" s="1475"/>
      <c r="Q46" s="1475"/>
      <c r="R46" s="1475"/>
      <c r="S46" s="1475"/>
      <c r="T46" s="1475"/>
      <c r="U46" s="1771" t="s">
        <v>1172</v>
      </c>
    </row>
    <row r="47" spans="1:21" s="29" customFormat="1" ht="37.5">
      <c r="A47" s="1456"/>
      <c r="B47" s="1456"/>
      <c r="C47" s="1473"/>
      <c r="D47" s="1456"/>
      <c r="E47" s="373" t="s">
        <v>1173</v>
      </c>
      <c r="F47" s="338">
        <v>1600</v>
      </c>
      <c r="G47" s="1781"/>
      <c r="H47" s="1525"/>
      <c r="I47" s="1744"/>
      <c r="J47" s="1744"/>
      <c r="K47" s="1785"/>
      <c r="L47" s="1476"/>
      <c r="M47" s="1476"/>
      <c r="N47" s="1476"/>
      <c r="O47" s="1476"/>
      <c r="P47" s="1476"/>
      <c r="Q47" s="1476"/>
      <c r="R47" s="1476"/>
      <c r="S47" s="1476"/>
      <c r="T47" s="1476"/>
      <c r="U47" s="1744"/>
    </row>
    <row r="48" spans="1:21" s="29" customFormat="1" ht="37.5">
      <c r="A48" s="1456"/>
      <c r="B48" s="1456"/>
      <c r="C48" s="1473"/>
      <c r="D48" s="1456"/>
      <c r="E48" s="374" t="s">
        <v>1174</v>
      </c>
      <c r="F48" s="340">
        <v>3200</v>
      </c>
      <c r="G48" s="1781"/>
      <c r="H48" s="1525"/>
      <c r="I48" s="1744"/>
      <c r="J48" s="1744"/>
      <c r="K48" s="1785"/>
      <c r="L48" s="1476"/>
      <c r="M48" s="1476"/>
      <c r="N48" s="1476"/>
      <c r="O48" s="1476"/>
      <c r="P48" s="1476"/>
      <c r="Q48" s="1476"/>
      <c r="R48" s="1476"/>
      <c r="S48" s="1476"/>
      <c r="T48" s="1476"/>
      <c r="U48" s="1744"/>
    </row>
    <row r="49" spans="1:21" s="29" customFormat="1" ht="37.5">
      <c r="A49" s="1456"/>
      <c r="B49" s="1456"/>
      <c r="C49" s="1473"/>
      <c r="D49" s="1456"/>
      <c r="E49" s="377" t="s">
        <v>1175</v>
      </c>
      <c r="F49" s="341">
        <v>4200</v>
      </c>
      <c r="G49" s="1782"/>
      <c r="H49" s="1526"/>
      <c r="I49" s="1745"/>
      <c r="J49" s="1745"/>
      <c r="K49" s="1786"/>
      <c r="L49" s="1477"/>
      <c r="M49" s="1477"/>
      <c r="N49" s="1477"/>
      <c r="O49" s="1477"/>
      <c r="P49" s="1477"/>
      <c r="Q49" s="1477"/>
      <c r="R49" s="1477"/>
      <c r="S49" s="1477"/>
      <c r="T49" s="1477"/>
      <c r="U49" s="1745"/>
    </row>
    <row r="50" spans="1:21" s="29" customFormat="1" ht="18.75">
      <c r="A50" s="1457"/>
      <c r="B50" s="1457"/>
      <c r="C50" s="1474"/>
      <c r="D50" s="1457"/>
      <c r="E50" s="371" t="s">
        <v>4</v>
      </c>
      <c r="F50" s="378">
        <v>115800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29" customFormat="1" ht="37.5">
      <c r="A51" s="1455" t="s">
        <v>1428</v>
      </c>
      <c r="B51" s="1455" t="s">
        <v>1176</v>
      </c>
      <c r="C51" s="1455"/>
      <c r="D51" s="1455" t="s">
        <v>1177</v>
      </c>
      <c r="E51" s="379" t="s">
        <v>1178</v>
      </c>
      <c r="F51" s="380">
        <v>2000</v>
      </c>
      <c r="G51" s="1741" t="s">
        <v>1120</v>
      </c>
      <c r="H51" s="1777">
        <v>22678</v>
      </c>
      <c r="I51" s="1475"/>
      <c r="J51" s="1475"/>
      <c r="K51" s="1475"/>
      <c r="L51" s="1475"/>
      <c r="M51" s="1775">
        <v>19400</v>
      </c>
      <c r="N51" s="1475"/>
      <c r="O51" s="1475"/>
      <c r="P51" s="1475"/>
      <c r="Q51" s="1475"/>
      <c r="R51" s="1475"/>
      <c r="S51" s="1475"/>
      <c r="T51" s="1475"/>
      <c r="U51" s="1797" t="s">
        <v>1150</v>
      </c>
    </row>
    <row r="52" spans="1:21" s="29" customFormat="1" ht="37.5">
      <c r="A52" s="1456"/>
      <c r="B52" s="1456"/>
      <c r="C52" s="1456"/>
      <c r="D52" s="1456"/>
      <c r="E52" s="381" t="s">
        <v>1179</v>
      </c>
      <c r="F52" s="380">
        <v>4000</v>
      </c>
      <c r="G52" s="1742"/>
      <c r="H52" s="1778"/>
      <c r="I52" s="1476"/>
      <c r="J52" s="1476"/>
      <c r="K52" s="1476"/>
      <c r="L52" s="1476"/>
      <c r="M52" s="1776"/>
      <c r="N52" s="1476"/>
      <c r="O52" s="1476"/>
      <c r="P52" s="1476"/>
      <c r="Q52" s="1476"/>
      <c r="R52" s="1476"/>
      <c r="S52" s="1476"/>
      <c r="T52" s="1476"/>
      <c r="U52" s="1748"/>
    </row>
    <row r="53" spans="1:21" s="29" customFormat="1" ht="37.5">
      <c r="A53" s="1456"/>
      <c r="B53" s="1456"/>
      <c r="C53" s="1456"/>
      <c r="D53" s="1456"/>
      <c r="E53" s="381" t="s">
        <v>1180</v>
      </c>
      <c r="F53" s="380">
        <v>2400</v>
      </c>
      <c r="G53" s="1742"/>
      <c r="H53" s="1778"/>
      <c r="I53" s="1476"/>
      <c r="J53" s="1476"/>
      <c r="K53" s="1476"/>
      <c r="L53" s="1476"/>
      <c r="M53" s="1776"/>
      <c r="N53" s="1476"/>
      <c r="O53" s="1476"/>
      <c r="P53" s="1476"/>
      <c r="Q53" s="1476"/>
      <c r="R53" s="1476"/>
      <c r="S53" s="1476"/>
      <c r="T53" s="1476"/>
      <c r="U53" s="1748"/>
    </row>
    <row r="54" spans="1:21" s="29" customFormat="1" ht="56.25">
      <c r="A54" s="1456"/>
      <c r="B54" s="1456"/>
      <c r="C54" s="1456"/>
      <c r="D54" s="1456"/>
      <c r="E54" s="381" t="s">
        <v>1181</v>
      </c>
      <c r="F54" s="203">
        <v>3600</v>
      </c>
      <c r="G54" s="1742"/>
      <c r="H54" s="1778"/>
      <c r="I54" s="1476"/>
      <c r="J54" s="1476"/>
      <c r="K54" s="1476"/>
      <c r="L54" s="1476"/>
      <c r="M54" s="1776"/>
      <c r="N54" s="1476"/>
      <c r="O54" s="1476"/>
      <c r="P54" s="1476"/>
      <c r="Q54" s="1476"/>
      <c r="R54" s="1476"/>
      <c r="S54" s="1476"/>
      <c r="T54" s="1476"/>
      <c r="U54" s="1748"/>
    </row>
    <row r="55" spans="1:21" s="29" customFormat="1" ht="37.5">
      <c r="A55" s="1456"/>
      <c r="B55" s="1456"/>
      <c r="C55" s="1456"/>
      <c r="D55" s="1456"/>
      <c r="E55" s="381" t="s">
        <v>1182</v>
      </c>
      <c r="F55" s="203">
        <v>1400</v>
      </c>
      <c r="G55" s="1742"/>
      <c r="H55" s="1778"/>
      <c r="I55" s="1476"/>
      <c r="J55" s="1476"/>
      <c r="K55" s="1476"/>
      <c r="L55" s="1476"/>
      <c r="M55" s="1776"/>
      <c r="N55" s="1476"/>
      <c r="O55" s="1476"/>
      <c r="P55" s="1476"/>
      <c r="Q55" s="1476"/>
      <c r="R55" s="1476"/>
      <c r="S55" s="1476"/>
      <c r="T55" s="1476"/>
      <c r="U55" s="1748"/>
    </row>
    <row r="56" spans="1:21" s="29" customFormat="1" ht="18.75">
      <c r="A56" s="1456"/>
      <c r="B56" s="1456"/>
      <c r="C56" s="1456"/>
      <c r="D56" s="1456"/>
      <c r="E56" s="194" t="s">
        <v>1155</v>
      </c>
      <c r="F56" s="203">
        <v>3000</v>
      </c>
      <c r="G56" s="1742"/>
      <c r="H56" s="1778"/>
      <c r="I56" s="1476"/>
      <c r="J56" s="1476"/>
      <c r="K56" s="1476"/>
      <c r="L56" s="1476"/>
      <c r="M56" s="1776"/>
      <c r="N56" s="1476"/>
      <c r="O56" s="1476"/>
      <c r="P56" s="1476"/>
      <c r="Q56" s="1476"/>
      <c r="R56" s="1476"/>
      <c r="S56" s="1476"/>
      <c r="T56" s="1476"/>
      <c r="U56" s="1748"/>
    </row>
    <row r="57" spans="1:21" s="29" customFormat="1" ht="18.75">
      <c r="A57" s="1456"/>
      <c r="B57" s="1456"/>
      <c r="C57" s="1456"/>
      <c r="D57" s="1456"/>
      <c r="E57" s="195" t="s">
        <v>1137</v>
      </c>
      <c r="F57" s="203">
        <v>2900</v>
      </c>
      <c r="G57" s="1742"/>
      <c r="H57" s="1778"/>
      <c r="I57" s="1476"/>
      <c r="J57" s="1476"/>
      <c r="K57" s="1476"/>
      <c r="L57" s="1476"/>
      <c r="M57" s="1776"/>
      <c r="N57" s="1476"/>
      <c r="O57" s="1476"/>
      <c r="P57" s="1476"/>
      <c r="Q57" s="1476"/>
      <c r="R57" s="1476"/>
      <c r="S57" s="1476"/>
      <c r="T57" s="1476"/>
      <c r="U57" s="1748"/>
    </row>
    <row r="58" spans="1:21" s="29" customFormat="1" ht="18.75">
      <c r="A58" s="1456"/>
      <c r="B58" s="1456"/>
      <c r="C58" s="1456"/>
      <c r="D58" s="1456"/>
      <c r="E58" s="196" t="s">
        <v>992</v>
      </c>
      <c r="F58" s="203">
        <v>1000</v>
      </c>
      <c r="G58" s="1743"/>
      <c r="H58" s="1779"/>
      <c r="I58" s="1477"/>
      <c r="J58" s="1477"/>
      <c r="K58" s="1477"/>
      <c r="L58" s="1477"/>
      <c r="M58" s="1798"/>
      <c r="N58" s="1477"/>
      <c r="O58" s="1477"/>
      <c r="P58" s="1477"/>
      <c r="Q58" s="1477"/>
      <c r="R58" s="1477"/>
      <c r="S58" s="1477"/>
      <c r="T58" s="1477"/>
      <c r="U58" s="1749"/>
    </row>
    <row r="59" spans="1:21" s="29" customFormat="1" ht="18.75">
      <c r="A59" s="1457"/>
      <c r="B59" s="1457"/>
      <c r="C59" s="1457"/>
      <c r="D59" s="1457"/>
      <c r="E59" s="287" t="s">
        <v>4</v>
      </c>
      <c r="F59" s="203">
        <v>20300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29" customFormat="1" ht="37.5">
      <c r="A60" s="1727" t="s">
        <v>1183</v>
      </c>
      <c r="B60" s="1727" t="s">
        <v>1184</v>
      </c>
      <c r="C60" s="1787"/>
      <c r="D60" s="1727" t="s">
        <v>1185</v>
      </c>
      <c r="E60" s="936" t="s">
        <v>1186</v>
      </c>
      <c r="F60" s="924">
        <v>1600</v>
      </c>
      <c r="G60" s="1790" t="s">
        <v>1120</v>
      </c>
      <c r="H60" s="1793">
        <v>22737</v>
      </c>
      <c r="I60" s="1772"/>
      <c r="J60" s="1772"/>
      <c r="K60" s="1772"/>
      <c r="L60" s="1772"/>
      <c r="M60" s="1772"/>
      <c r="N60" s="1772"/>
      <c r="O60" s="1802">
        <v>11900</v>
      </c>
      <c r="P60" s="1772"/>
      <c r="Q60" s="1772"/>
      <c r="R60" s="1772"/>
      <c r="S60" s="1772"/>
      <c r="T60" s="1772"/>
      <c r="U60" s="1799" t="s">
        <v>1172</v>
      </c>
    </row>
    <row r="61" spans="1:21" s="29" customFormat="1" ht="37.5">
      <c r="A61" s="1728"/>
      <c r="B61" s="1728"/>
      <c r="C61" s="1788"/>
      <c r="D61" s="1728"/>
      <c r="E61" s="936" t="s">
        <v>1187</v>
      </c>
      <c r="F61" s="924">
        <v>3200</v>
      </c>
      <c r="G61" s="1791"/>
      <c r="H61" s="1794"/>
      <c r="I61" s="1773"/>
      <c r="J61" s="1773"/>
      <c r="K61" s="1773"/>
      <c r="L61" s="1773"/>
      <c r="M61" s="1773"/>
      <c r="N61" s="1773"/>
      <c r="O61" s="1803"/>
      <c r="P61" s="1773"/>
      <c r="Q61" s="1773"/>
      <c r="R61" s="1773"/>
      <c r="S61" s="1773"/>
      <c r="T61" s="1773"/>
      <c r="U61" s="1800"/>
    </row>
    <row r="62" spans="1:21" s="29" customFormat="1" ht="37.5">
      <c r="A62" s="1728"/>
      <c r="B62" s="1728"/>
      <c r="C62" s="1788"/>
      <c r="D62" s="1728"/>
      <c r="E62" s="936" t="s">
        <v>1188</v>
      </c>
      <c r="F62" s="924">
        <v>4200</v>
      </c>
      <c r="G62" s="1791"/>
      <c r="H62" s="1794"/>
      <c r="I62" s="1773"/>
      <c r="J62" s="1773"/>
      <c r="K62" s="1773"/>
      <c r="L62" s="1773"/>
      <c r="M62" s="1773"/>
      <c r="N62" s="1773"/>
      <c r="O62" s="1803"/>
      <c r="P62" s="1773"/>
      <c r="Q62" s="1773"/>
      <c r="R62" s="1773"/>
      <c r="S62" s="1773"/>
      <c r="T62" s="1773"/>
      <c r="U62" s="1800"/>
    </row>
    <row r="63" spans="1:21" s="29" customFormat="1" ht="18.75">
      <c r="A63" s="1728"/>
      <c r="B63" s="1728"/>
      <c r="C63" s="1788"/>
      <c r="D63" s="1728"/>
      <c r="E63" s="936" t="s">
        <v>1137</v>
      </c>
      <c r="F63" s="924">
        <v>2900</v>
      </c>
      <c r="G63" s="1792"/>
      <c r="H63" s="1795"/>
      <c r="I63" s="1774"/>
      <c r="J63" s="1774"/>
      <c r="K63" s="1774"/>
      <c r="L63" s="1774"/>
      <c r="M63" s="1774"/>
      <c r="N63" s="1774"/>
      <c r="O63" s="1804"/>
      <c r="P63" s="1774"/>
      <c r="Q63" s="1774"/>
      <c r="R63" s="1774"/>
      <c r="S63" s="1774"/>
      <c r="T63" s="1774"/>
      <c r="U63" s="1801"/>
    </row>
    <row r="64" spans="1:21" ht="18.75">
      <c r="A64" s="1729"/>
      <c r="B64" s="1729"/>
      <c r="C64" s="1789"/>
      <c r="D64" s="1729"/>
      <c r="E64" s="1036" t="s">
        <v>4</v>
      </c>
      <c r="F64" s="928">
        <v>11900</v>
      </c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</row>
    <row r="65" spans="1:21" ht="37.5">
      <c r="A65" s="1727" t="s">
        <v>1440</v>
      </c>
      <c r="B65" s="1727" t="s">
        <v>1189</v>
      </c>
      <c r="C65" s="1727"/>
      <c r="D65" s="1727" t="s">
        <v>1190</v>
      </c>
      <c r="E65" s="930" t="s">
        <v>1191</v>
      </c>
      <c r="F65" s="921">
        <v>2400</v>
      </c>
      <c r="G65" s="1805" t="s">
        <v>77</v>
      </c>
      <c r="H65" s="1808">
        <v>22859</v>
      </c>
      <c r="I65" s="1772"/>
      <c r="J65" s="1772"/>
      <c r="K65" s="1772"/>
      <c r="L65" s="1772"/>
      <c r="M65" s="1772"/>
      <c r="N65" s="1772"/>
      <c r="O65" s="1772"/>
      <c r="P65" s="1772"/>
      <c r="Q65" s="1772"/>
      <c r="R65" s="1772"/>
      <c r="S65" s="1802">
        <v>21400</v>
      </c>
      <c r="T65" s="1772"/>
      <c r="U65" s="1813" t="s">
        <v>1192</v>
      </c>
    </row>
    <row r="66" spans="1:21" ht="56.25">
      <c r="A66" s="1728"/>
      <c r="B66" s="1728"/>
      <c r="C66" s="1728"/>
      <c r="D66" s="1728"/>
      <c r="E66" s="931" t="s">
        <v>1193</v>
      </c>
      <c r="F66" s="929">
        <v>9000</v>
      </c>
      <c r="G66" s="1806"/>
      <c r="H66" s="1809"/>
      <c r="I66" s="1773"/>
      <c r="J66" s="1773"/>
      <c r="K66" s="1773"/>
      <c r="L66" s="1773"/>
      <c r="M66" s="1773"/>
      <c r="N66" s="1773"/>
      <c r="O66" s="1773"/>
      <c r="P66" s="1773"/>
      <c r="Q66" s="1773"/>
      <c r="R66" s="1773"/>
      <c r="S66" s="1803"/>
      <c r="T66" s="1773"/>
      <c r="U66" s="1814"/>
    </row>
    <row r="67" spans="1:21" ht="75">
      <c r="A67" s="1728"/>
      <c r="B67" s="1728"/>
      <c r="C67" s="1728"/>
      <c r="D67" s="1728"/>
      <c r="E67" s="932" t="s">
        <v>1194</v>
      </c>
      <c r="F67" s="929">
        <v>6000</v>
      </c>
      <c r="G67" s="1806"/>
      <c r="H67" s="1809"/>
      <c r="I67" s="1773"/>
      <c r="J67" s="1773"/>
      <c r="K67" s="1773"/>
      <c r="L67" s="1773"/>
      <c r="M67" s="1773"/>
      <c r="N67" s="1773"/>
      <c r="O67" s="1773"/>
      <c r="P67" s="1773"/>
      <c r="Q67" s="1773"/>
      <c r="R67" s="1773"/>
      <c r="S67" s="1803"/>
      <c r="T67" s="1773"/>
      <c r="U67" s="1814"/>
    </row>
    <row r="68" spans="1:21" ht="75">
      <c r="A68" s="1728"/>
      <c r="B68" s="1728"/>
      <c r="C68" s="1728"/>
      <c r="D68" s="1728"/>
      <c r="E68" s="932" t="s">
        <v>1195</v>
      </c>
      <c r="F68" s="929">
        <v>3000</v>
      </c>
      <c r="G68" s="1806"/>
      <c r="H68" s="1809"/>
      <c r="I68" s="1773"/>
      <c r="J68" s="1773"/>
      <c r="K68" s="1773"/>
      <c r="L68" s="1773"/>
      <c r="M68" s="1773"/>
      <c r="N68" s="1773"/>
      <c r="O68" s="1773"/>
      <c r="P68" s="1773"/>
      <c r="Q68" s="1773"/>
      <c r="R68" s="1773"/>
      <c r="S68" s="1803"/>
      <c r="T68" s="1773"/>
      <c r="U68" s="1814"/>
    </row>
    <row r="69" spans="1:21" ht="18.75">
      <c r="A69" s="1728"/>
      <c r="B69" s="1728"/>
      <c r="C69" s="1728"/>
      <c r="D69" s="1728"/>
      <c r="E69" s="933" t="s">
        <v>1137</v>
      </c>
      <c r="F69" s="923">
        <v>1000</v>
      </c>
      <c r="G69" s="1807"/>
      <c r="H69" s="1810"/>
      <c r="I69" s="1774"/>
      <c r="J69" s="1774"/>
      <c r="K69" s="1774"/>
      <c r="L69" s="1774"/>
      <c r="M69" s="1774"/>
      <c r="N69" s="1774"/>
      <c r="O69" s="1774"/>
      <c r="P69" s="1774"/>
      <c r="Q69" s="1774"/>
      <c r="R69" s="1774"/>
      <c r="S69" s="1804"/>
      <c r="T69" s="1774"/>
      <c r="U69" s="1815"/>
    </row>
    <row r="70" spans="1:21" ht="18.75">
      <c r="A70" s="1729"/>
      <c r="B70" s="1729"/>
      <c r="C70" s="1729"/>
      <c r="D70" s="1729"/>
      <c r="E70" s="934" t="s">
        <v>4</v>
      </c>
      <c r="F70" s="924">
        <v>21400</v>
      </c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</row>
    <row r="71" spans="1:21" ht="18.75">
      <c r="A71" s="1455" t="s">
        <v>1196</v>
      </c>
      <c r="B71" s="1455" t="s">
        <v>1197</v>
      </c>
      <c r="C71" s="1455"/>
      <c r="D71" s="1455"/>
      <c r="E71" s="382" t="s">
        <v>1198</v>
      </c>
      <c r="F71" s="203">
        <v>0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383" t="s">
        <v>1150</v>
      </c>
    </row>
    <row r="72" spans="1:21" ht="18.75">
      <c r="A72" s="1457"/>
      <c r="B72" s="1457"/>
      <c r="C72" s="1457"/>
      <c r="D72" s="1457"/>
      <c r="E72" s="366" t="s">
        <v>4</v>
      </c>
      <c r="F72" s="280">
        <v>0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93.75">
      <c r="A73" s="1455" t="s">
        <v>1199</v>
      </c>
      <c r="B73" s="1455" t="s">
        <v>1200</v>
      </c>
      <c r="C73" s="1571"/>
      <c r="D73" s="1455" t="s">
        <v>1201</v>
      </c>
      <c r="E73" s="197" t="s">
        <v>1429</v>
      </c>
      <c r="F73" s="203">
        <v>2400</v>
      </c>
      <c r="G73" s="384" t="s">
        <v>445</v>
      </c>
      <c r="H73" s="383" t="s">
        <v>1202</v>
      </c>
      <c r="I73" s="68"/>
      <c r="J73" s="68"/>
      <c r="K73" s="384">
        <v>600</v>
      </c>
      <c r="L73" s="68"/>
      <c r="M73" s="68"/>
      <c r="N73" s="384">
        <v>600</v>
      </c>
      <c r="O73" s="68"/>
      <c r="P73" s="68"/>
      <c r="Q73" s="384">
        <v>600</v>
      </c>
      <c r="R73" s="68"/>
      <c r="S73" s="68"/>
      <c r="T73" s="384">
        <v>600</v>
      </c>
      <c r="U73" s="385" t="s">
        <v>1122</v>
      </c>
    </row>
    <row r="74" spans="1:21" ht="18.75">
      <c r="A74" s="1457"/>
      <c r="B74" s="1457"/>
      <c r="C74" s="1571"/>
      <c r="D74" s="1457"/>
      <c r="E74" s="287" t="s">
        <v>4</v>
      </c>
      <c r="F74" s="280">
        <v>2400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37.5">
      <c r="A75" s="1440" t="s">
        <v>1203</v>
      </c>
      <c r="B75" s="1440" t="s">
        <v>1204</v>
      </c>
      <c r="C75" s="1571"/>
      <c r="D75" s="1440" t="s">
        <v>1205</v>
      </c>
      <c r="E75" s="368" t="s">
        <v>1206</v>
      </c>
      <c r="F75" s="338">
        <v>1600</v>
      </c>
      <c r="G75" s="1741" t="s">
        <v>1207</v>
      </c>
      <c r="H75" s="1777">
        <v>22616</v>
      </c>
      <c r="I75" s="1475"/>
      <c r="J75" s="1475"/>
      <c r="K75" s="1475"/>
      <c r="L75" s="1475"/>
      <c r="M75" s="1475"/>
      <c r="N75" s="1475"/>
      <c r="O75" s="1475"/>
      <c r="P75" s="1475"/>
      <c r="Q75" s="1475"/>
      <c r="R75" s="1475"/>
      <c r="S75" s="1475"/>
      <c r="T75" s="1475"/>
      <c r="U75" s="1797" t="s">
        <v>1150</v>
      </c>
    </row>
    <row r="76" spans="1:21" ht="37.5">
      <c r="A76" s="1440"/>
      <c r="B76" s="1440"/>
      <c r="C76" s="1571"/>
      <c r="D76" s="1440"/>
      <c r="E76" s="369" t="s">
        <v>1208</v>
      </c>
      <c r="F76" s="340">
        <v>3200</v>
      </c>
      <c r="G76" s="1742"/>
      <c r="H76" s="1744"/>
      <c r="I76" s="1476"/>
      <c r="J76" s="1476"/>
      <c r="K76" s="1476"/>
      <c r="L76" s="1476"/>
      <c r="M76" s="1476"/>
      <c r="N76" s="1476"/>
      <c r="O76" s="1476"/>
      <c r="P76" s="1476"/>
      <c r="Q76" s="1476"/>
      <c r="R76" s="1476"/>
      <c r="S76" s="1476"/>
      <c r="T76" s="1476"/>
      <c r="U76" s="1748"/>
    </row>
    <row r="77" spans="1:21" ht="18.75">
      <c r="A77" s="1440"/>
      <c r="B77" s="1440"/>
      <c r="C77" s="1571"/>
      <c r="D77" s="1440"/>
      <c r="E77" s="370" t="s">
        <v>1137</v>
      </c>
      <c r="F77" s="341">
        <v>1000</v>
      </c>
      <c r="G77" s="1742"/>
      <c r="H77" s="1744"/>
      <c r="I77" s="1476"/>
      <c r="J77" s="1476"/>
      <c r="K77" s="1476"/>
      <c r="L77" s="1476"/>
      <c r="M77" s="1476"/>
      <c r="N77" s="1476"/>
      <c r="O77" s="1476"/>
      <c r="P77" s="1476"/>
      <c r="Q77" s="1476"/>
      <c r="R77" s="1476"/>
      <c r="S77" s="1476"/>
      <c r="T77" s="1476"/>
      <c r="U77" s="1748"/>
    </row>
    <row r="78" spans="1:21" ht="18.75">
      <c r="A78" s="1455"/>
      <c r="B78" s="1455"/>
      <c r="C78" s="1493"/>
      <c r="D78" s="1455"/>
      <c r="E78" s="387" t="s">
        <v>4</v>
      </c>
      <c r="F78" s="367">
        <v>5800</v>
      </c>
      <c r="G78" s="1742"/>
      <c r="H78" s="1744"/>
      <c r="I78" s="1476"/>
      <c r="J78" s="1476"/>
      <c r="K78" s="1476"/>
      <c r="L78" s="1476"/>
      <c r="M78" s="1476"/>
      <c r="N78" s="1476"/>
      <c r="O78" s="1476"/>
      <c r="P78" s="1476"/>
      <c r="Q78" s="1476"/>
      <c r="R78" s="1476"/>
      <c r="S78" s="1476"/>
      <c r="T78" s="1476"/>
      <c r="U78" s="1748"/>
    </row>
    <row r="79" spans="1:21" s="406" customFormat="1" ht="37.5">
      <c r="A79" s="1440" t="s">
        <v>1209</v>
      </c>
      <c r="B79" s="1440" t="s">
        <v>1210</v>
      </c>
      <c r="C79" s="1571"/>
      <c r="D79" s="1440" t="s">
        <v>1211</v>
      </c>
      <c r="E79" s="368" t="s">
        <v>1212</v>
      </c>
      <c r="F79" s="338">
        <v>6400</v>
      </c>
      <c r="G79" s="1741" t="s">
        <v>1207</v>
      </c>
      <c r="H79" s="1771" t="s">
        <v>1202</v>
      </c>
      <c r="I79" s="1475"/>
      <c r="J79" s="1475"/>
      <c r="K79" s="1775">
        <v>7100</v>
      </c>
      <c r="L79" s="1475"/>
      <c r="M79" s="1475"/>
      <c r="N79" s="1775">
        <v>7100</v>
      </c>
      <c r="O79" s="1475"/>
      <c r="P79" s="1475"/>
      <c r="Q79" s="1775">
        <v>7100</v>
      </c>
      <c r="R79" s="1475"/>
      <c r="S79" s="1475"/>
      <c r="T79" s="1775">
        <v>7100</v>
      </c>
      <c r="U79" s="1797" t="s">
        <v>1150</v>
      </c>
    </row>
    <row r="80" spans="1:21" ht="37.5">
      <c r="A80" s="1440"/>
      <c r="B80" s="1440"/>
      <c r="C80" s="1571"/>
      <c r="D80" s="1440"/>
      <c r="E80" s="369" t="s">
        <v>1213</v>
      </c>
      <c r="F80" s="340">
        <v>12800</v>
      </c>
      <c r="G80" s="1742"/>
      <c r="H80" s="1744"/>
      <c r="I80" s="1476"/>
      <c r="J80" s="1476"/>
      <c r="K80" s="1811"/>
      <c r="L80" s="1476"/>
      <c r="M80" s="1476"/>
      <c r="N80" s="1811"/>
      <c r="O80" s="1476"/>
      <c r="P80" s="1476"/>
      <c r="Q80" s="1811"/>
      <c r="R80" s="1476"/>
      <c r="S80" s="1476"/>
      <c r="T80" s="1811"/>
      <c r="U80" s="1748"/>
    </row>
    <row r="81" spans="1:21" ht="56.25">
      <c r="A81" s="1440"/>
      <c r="B81" s="1440"/>
      <c r="C81" s="1571"/>
      <c r="D81" s="1440"/>
      <c r="E81" s="369" t="s">
        <v>1214</v>
      </c>
      <c r="F81" s="340">
        <v>7200</v>
      </c>
      <c r="G81" s="1742"/>
      <c r="H81" s="1744"/>
      <c r="I81" s="1476"/>
      <c r="J81" s="1476"/>
      <c r="K81" s="1811"/>
      <c r="L81" s="1476"/>
      <c r="M81" s="1476"/>
      <c r="N81" s="1811"/>
      <c r="O81" s="1476"/>
      <c r="P81" s="1476"/>
      <c r="Q81" s="1811"/>
      <c r="R81" s="1476"/>
      <c r="S81" s="1476"/>
      <c r="T81" s="1811"/>
      <c r="U81" s="1748"/>
    </row>
    <row r="82" spans="1:21" ht="18.75">
      <c r="A82" s="1440"/>
      <c r="B82" s="1440"/>
      <c r="C82" s="1571"/>
      <c r="D82" s="1440"/>
      <c r="E82" s="370" t="s">
        <v>1137</v>
      </c>
      <c r="F82" s="341">
        <v>2000</v>
      </c>
      <c r="G82" s="1742"/>
      <c r="H82" s="1744"/>
      <c r="I82" s="1476"/>
      <c r="J82" s="1476"/>
      <c r="K82" s="1811"/>
      <c r="L82" s="1476"/>
      <c r="M82" s="1476"/>
      <c r="N82" s="1811"/>
      <c r="O82" s="1476"/>
      <c r="P82" s="1476"/>
      <c r="Q82" s="1811"/>
      <c r="R82" s="1476"/>
      <c r="S82" s="1476"/>
      <c r="T82" s="1811"/>
      <c r="U82" s="1748"/>
    </row>
    <row r="83" spans="1:21" ht="18.75">
      <c r="A83" s="1440"/>
      <c r="B83" s="1440"/>
      <c r="C83" s="1571"/>
      <c r="D83" s="1440"/>
      <c r="E83" s="371" t="s">
        <v>4</v>
      </c>
      <c r="F83" s="280">
        <v>28400</v>
      </c>
      <c r="G83" s="1743"/>
      <c r="H83" s="1745"/>
      <c r="I83" s="1477"/>
      <c r="J83" s="1477"/>
      <c r="K83" s="1812"/>
      <c r="L83" s="1477"/>
      <c r="M83" s="1477"/>
      <c r="N83" s="1812"/>
      <c r="O83" s="1477"/>
      <c r="P83" s="1477"/>
      <c r="Q83" s="1812"/>
      <c r="R83" s="1477"/>
      <c r="S83" s="1477"/>
      <c r="T83" s="1812"/>
      <c r="U83" s="1749"/>
    </row>
    <row r="84" spans="1:21" ht="21.75">
      <c r="A84" s="1634" t="s">
        <v>1215</v>
      </c>
      <c r="B84" s="1635"/>
      <c r="C84" s="1635"/>
      <c r="D84" s="1635"/>
      <c r="E84" s="1635"/>
      <c r="F84" s="1635"/>
      <c r="G84" s="1635"/>
      <c r="H84" s="1635"/>
      <c r="I84" s="1635"/>
      <c r="J84" s="1635"/>
      <c r="K84" s="1635"/>
      <c r="L84" s="1635"/>
      <c r="M84" s="1635"/>
      <c r="N84" s="1635"/>
      <c r="O84" s="1635"/>
      <c r="P84" s="1635"/>
      <c r="Q84" s="1635"/>
      <c r="R84" s="1635"/>
      <c r="S84" s="1635"/>
      <c r="T84" s="1635"/>
      <c r="U84" s="1636"/>
    </row>
    <row r="85" spans="1:21" ht="37.5">
      <c r="A85" s="1746" t="s">
        <v>1216</v>
      </c>
      <c r="B85" s="1746" t="s">
        <v>1217</v>
      </c>
      <c r="C85" s="1818"/>
      <c r="D85" s="1819" t="s">
        <v>1218</v>
      </c>
      <c r="E85" s="1037" t="s">
        <v>1219</v>
      </c>
      <c r="F85" s="938">
        <v>3200</v>
      </c>
      <c r="G85" s="1750" t="s">
        <v>445</v>
      </c>
      <c r="H85" s="1753">
        <v>22616</v>
      </c>
      <c r="I85" s="1754"/>
      <c r="J85" s="1754"/>
      <c r="K85" s="1765">
        <v>23000</v>
      </c>
      <c r="L85" s="1754"/>
      <c r="M85" s="1754"/>
      <c r="N85" s="1754"/>
      <c r="O85" s="1754"/>
      <c r="P85" s="1754"/>
      <c r="Q85" s="1754"/>
      <c r="R85" s="1754"/>
      <c r="S85" s="1754"/>
      <c r="T85" s="1754"/>
      <c r="U85" s="1720" t="s">
        <v>1220</v>
      </c>
    </row>
    <row r="86" spans="1:21" ht="37.5">
      <c r="A86" s="1746"/>
      <c r="B86" s="1746"/>
      <c r="C86" s="1818"/>
      <c r="D86" s="1820"/>
      <c r="E86" s="1038" t="s">
        <v>1221</v>
      </c>
      <c r="F86" s="940">
        <v>6400</v>
      </c>
      <c r="G86" s="1751"/>
      <c r="H86" s="1816"/>
      <c r="I86" s="1755"/>
      <c r="J86" s="1755"/>
      <c r="K86" s="1766"/>
      <c r="L86" s="1755"/>
      <c r="M86" s="1755"/>
      <c r="N86" s="1755"/>
      <c r="O86" s="1755"/>
      <c r="P86" s="1755"/>
      <c r="Q86" s="1755"/>
      <c r="R86" s="1755"/>
      <c r="S86" s="1755"/>
      <c r="T86" s="1755"/>
      <c r="U86" s="1822"/>
    </row>
    <row r="87" spans="1:21" ht="37.5">
      <c r="A87" s="1746"/>
      <c r="B87" s="1746"/>
      <c r="C87" s="1818"/>
      <c r="D87" s="1820"/>
      <c r="E87" s="1038" t="s">
        <v>1222</v>
      </c>
      <c r="F87" s="940">
        <v>3600</v>
      </c>
      <c r="G87" s="1751"/>
      <c r="H87" s="1816"/>
      <c r="I87" s="1755"/>
      <c r="J87" s="1755"/>
      <c r="K87" s="1766"/>
      <c r="L87" s="1755"/>
      <c r="M87" s="1755"/>
      <c r="N87" s="1755"/>
      <c r="O87" s="1755"/>
      <c r="P87" s="1755"/>
      <c r="Q87" s="1755"/>
      <c r="R87" s="1755"/>
      <c r="S87" s="1755"/>
      <c r="T87" s="1755"/>
      <c r="U87" s="1822"/>
    </row>
    <row r="88" spans="1:21" ht="37.5">
      <c r="A88" s="1746"/>
      <c r="B88" s="1746"/>
      <c r="C88" s="1818"/>
      <c r="D88" s="1820"/>
      <c r="E88" s="1038" t="s">
        <v>1223</v>
      </c>
      <c r="F88" s="940">
        <v>4800</v>
      </c>
      <c r="G88" s="1751"/>
      <c r="H88" s="1816"/>
      <c r="I88" s="1755"/>
      <c r="J88" s="1755"/>
      <c r="K88" s="1766"/>
      <c r="L88" s="1755"/>
      <c r="M88" s="1755"/>
      <c r="N88" s="1755"/>
      <c r="O88" s="1755"/>
      <c r="P88" s="1755"/>
      <c r="Q88" s="1755"/>
      <c r="R88" s="1755"/>
      <c r="S88" s="1755"/>
      <c r="T88" s="1755"/>
      <c r="U88" s="1822"/>
    </row>
    <row r="89" spans="1:21" ht="18.75">
      <c r="A89" s="1746"/>
      <c r="B89" s="1746"/>
      <c r="C89" s="1818"/>
      <c r="D89" s="1820"/>
      <c r="E89" s="1038" t="s">
        <v>1224</v>
      </c>
      <c r="F89" s="940">
        <v>2000</v>
      </c>
      <c r="G89" s="1751"/>
      <c r="H89" s="1816"/>
      <c r="I89" s="1755"/>
      <c r="J89" s="1755"/>
      <c r="K89" s="1766"/>
      <c r="L89" s="1755"/>
      <c r="M89" s="1755"/>
      <c r="N89" s="1755"/>
      <c r="O89" s="1755"/>
      <c r="P89" s="1755"/>
      <c r="Q89" s="1755"/>
      <c r="R89" s="1755"/>
      <c r="S89" s="1755"/>
      <c r="T89" s="1755"/>
      <c r="U89" s="1822"/>
    </row>
    <row r="90" spans="1:21" ht="37.5">
      <c r="A90" s="1746"/>
      <c r="B90" s="1746"/>
      <c r="C90" s="1818"/>
      <c r="D90" s="1820"/>
      <c r="E90" s="1038" t="s">
        <v>1225</v>
      </c>
      <c r="F90" s="940">
        <v>1400</v>
      </c>
      <c r="G90" s="1751"/>
      <c r="H90" s="1816"/>
      <c r="I90" s="1755"/>
      <c r="J90" s="1755"/>
      <c r="K90" s="1766"/>
      <c r="L90" s="1755"/>
      <c r="M90" s="1755"/>
      <c r="N90" s="1755"/>
      <c r="O90" s="1755"/>
      <c r="P90" s="1755"/>
      <c r="Q90" s="1755"/>
      <c r="R90" s="1755"/>
      <c r="S90" s="1755"/>
      <c r="T90" s="1755"/>
      <c r="U90" s="1822"/>
    </row>
    <row r="91" spans="1:21" ht="18.75">
      <c r="A91" s="1746"/>
      <c r="B91" s="1746"/>
      <c r="C91" s="1818"/>
      <c r="D91" s="1820"/>
      <c r="E91" s="1038" t="s">
        <v>1137</v>
      </c>
      <c r="F91" s="940">
        <v>1600</v>
      </c>
      <c r="G91" s="1751"/>
      <c r="H91" s="1816"/>
      <c r="I91" s="1755"/>
      <c r="J91" s="1755"/>
      <c r="K91" s="1766"/>
      <c r="L91" s="1755"/>
      <c r="M91" s="1755"/>
      <c r="N91" s="1755"/>
      <c r="O91" s="1755"/>
      <c r="P91" s="1755"/>
      <c r="Q91" s="1755"/>
      <c r="R91" s="1755"/>
      <c r="S91" s="1755"/>
      <c r="T91" s="1755"/>
      <c r="U91" s="1823"/>
    </row>
    <row r="92" spans="1:21" ht="18.75">
      <c r="A92" s="1746"/>
      <c r="B92" s="1746"/>
      <c r="C92" s="1818"/>
      <c r="D92" s="1821"/>
      <c r="E92" s="1039" t="s">
        <v>4</v>
      </c>
      <c r="F92" s="946">
        <v>23000</v>
      </c>
      <c r="G92" s="1040"/>
      <c r="H92" s="1040"/>
      <c r="I92" s="1040"/>
      <c r="J92" s="1040"/>
      <c r="K92" s="1040"/>
      <c r="L92" s="1040"/>
      <c r="M92" s="1040"/>
      <c r="N92" s="1040"/>
      <c r="O92" s="1040"/>
      <c r="P92" s="1040"/>
      <c r="Q92" s="1040"/>
      <c r="R92" s="1040"/>
      <c r="S92" s="1040"/>
      <c r="T92" s="1040"/>
      <c r="U92" s="1040"/>
    </row>
    <row r="93" spans="1:21" ht="37.5">
      <c r="A93" s="1455" t="s">
        <v>1226</v>
      </c>
      <c r="B93" s="1826" t="s">
        <v>1227</v>
      </c>
      <c r="C93" s="1493"/>
      <c r="D93" s="1455" t="s">
        <v>1228</v>
      </c>
      <c r="E93" s="373" t="s">
        <v>1229</v>
      </c>
      <c r="F93" s="338">
        <v>6400</v>
      </c>
      <c r="G93" s="1741" t="s">
        <v>445</v>
      </c>
      <c r="H93" s="1771" t="s">
        <v>1202</v>
      </c>
      <c r="I93" s="1475"/>
      <c r="J93" s="1475"/>
      <c r="K93" s="1775">
        <v>6600</v>
      </c>
      <c r="L93" s="1475"/>
      <c r="M93" s="1475"/>
      <c r="N93" s="1775">
        <v>6600</v>
      </c>
      <c r="O93" s="1475"/>
      <c r="P93" s="1475"/>
      <c r="Q93" s="1775">
        <v>6600</v>
      </c>
      <c r="R93" s="1475"/>
      <c r="S93" s="1475"/>
      <c r="T93" s="1775">
        <v>6600</v>
      </c>
      <c r="U93" s="1747" t="s">
        <v>1220</v>
      </c>
    </row>
    <row r="94" spans="1:21" ht="37.5">
      <c r="A94" s="1456"/>
      <c r="B94" s="1827"/>
      <c r="C94" s="1473"/>
      <c r="D94" s="1456"/>
      <c r="E94" s="374" t="s">
        <v>1213</v>
      </c>
      <c r="F94" s="340">
        <v>12800</v>
      </c>
      <c r="G94" s="1742"/>
      <c r="H94" s="1744"/>
      <c r="I94" s="1476"/>
      <c r="J94" s="1476"/>
      <c r="K94" s="1776"/>
      <c r="L94" s="1476"/>
      <c r="M94" s="1476"/>
      <c r="N94" s="1776"/>
      <c r="O94" s="1476"/>
      <c r="P94" s="1476"/>
      <c r="Q94" s="1776"/>
      <c r="R94" s="1476"/>
      <c r="S94" s="1476"/>
      <c r="T94" s="1776"/>
      <c r="U94" s="1817"/>
    </row>
    <row r="95" spans="1:21" ht="56.25">
      <c r="A95" s="1456"/>
      <c r="B95" s="1827"/>
      <c r="C95" s="1473"/>
      <c r="D95" s="1456"/>
      <c r="E95" s="374" t="s">
        <v>1230</v>
      </c>
      <c r="F95" s="340">
        <v>7200</v>
      </c>
      <c r="G95" s="1742"/>
      <c r="H95" s="1744"/>
      <c r="I95" s="1476"/>
      <c r="J95" s="1476"/>
      <c r="K95" s="1776"/>
      <c r="L95" s="1476"/>
      <c r="M95" s="1476"/>
      <c r="N95" s="1776"/>
      <c r="O95" s="1476"/>
      <c r="P95" s="1476"/>
      <c r="Q95" s="1776"/>
      <c r="R95" s="1476"/>
      <c r="S95" s="1476"/>
      <c r="T95" s="1776"/>
      <c r="U95" s="1817"/>
    </row>
    <row r="96" spans="1:21" ht="18.75">
      <c r="A96" s="1457"/>
      <c r="B96" s="1828"/>
      <c r="C96" s="1474"/>
      <c r="D96" s="1457"/>
      <c r="E96" s="371" t="s">
        <v>4</v>
      </c>
      <c r="F96" s="280">
        <v>26400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37.5">
      <c r="A97" s="1819" t="s">
        <v>1231</v>
      </c>
      <c r="B97" s="1819" t="s">
        <v>1232</v>
      </c>
      <c r="C97" s="1830"/>
      <c r="D97" s="1819" t="s">
        <v>1233</v>
      </c>
      <c r="E97" s="1037" t="s">
        <v>1234</v>
      </c>
      <c r="F97" s="938">
        <v>4000</v>
      </c>
      <c r="G97" s="1750" t="s">
        <v>77</v>
      </c>
      <c r="H97" s="1829" t="s">
        <v>1235</v>
      </c>
      <c r="I97" s="1754"/>
      <c r="J97" s="1754"/>
      <c r="K97" s="1754"/>
      <c r="L97" s="1754"/>
      <c r="M97" s="1754"/>
      <c r="N97" s="1754"/>
      <c r="O97" s="1754"/>
      <c r="P97" s="1765"/>
      <c r="Q97" s="1765">
        <v>1200</v>
      </c>
      <c r="R97" s="1765">
        <v>5000</v>
      </c>
      <c r="S97" s="1754"/>
      <c r="T97" s="1754"/>
      <c r="U97" s="1824" t="s">
        <v>1220</v>
      </c>
    </row>
    <row r="98" spans="1:21" ht="37.5">
      <c r="A98" s="1820"/>
      <c r="B98" s="1820"/>
      <c r="C98" s="1831"/>
      <c r="D98" s="1820"/>
      <c r="E98" s="951" t="s">
        <v>1458</v>
      </c>
      <c r="F98" s="944">
        <v>2400</v>
      </c>
      <c r="G98" s="1752"/>
      <c r="H98" s="1722"/>
      <c r="I98" s="1756"/>
      <c r="J98" s="1756"/>
      <c r="K98" s="1756"/>
      <c r="L98" s="1756"/>
      <c r="M98" s="1756"/>
      <c r="N98" s="1756"/>
      <c r="O98" s="1756"/>
      <c r="P98" s="1767"/>
      <c r="Q98" s="1767"/>
      <c r="R98" s="1767"/>
      <c r="S98" s="1756"/>
      <c r="T98" s="1756"/>
      <c r="U98" s="1825"/>
    </row>
    <row r="99" spans="1:21" ht="18.75">
      <c r="A99" s="1821"/>
      <c r="B99" s="1821"/>
      <c r="C99" s="1832"/>
      <c r="D99" s="1821"/>
      <c r="E99" s="945" t="s">
        <v>4</v>
      </c>
      <c r="F99" s="946">
        <v>6400</v>
      </c>
      <c r="G99" s="1040"/>
      <c r="H99" s="1040"/>
      <c r="I99" s="1040"/>
      <c r="J99" s="1040"/>
      <c r="K99" s="1040"/>
      <c r="L99" s="1040"/>
      <c r="M99" s="1040"/>
      <c r="N99" s="1040"/>
      <c r="O99" s="1040"/>
      <c r="P99" s="1040"/>
      <c r="Q99" s="1040"/>
      <c r="R99" s="1040"/>
      <c r="S99" s="1040"/>
      <c r="T99" s="1040"/>
      <c r="U99" s="1040"/>
    </row>
    <row r="100" spans="1:21" ht="37.5">
      <c r="A100" s="1746" t="s">
        <v>1236</v>
      </c>
      <c r="B100" s="1746" t="s">
        <v>1237</v>
      </c>
      <c r="C100" s="1818"/>
      <c r="D100" s="1818" t="s">
        <v>1238</v>
      </c>
      <c r="E100" s="1041" t="s">
        <v>1239</v>
      </c>
      <c r="F100" s="946">
        <v>11200</v>
      </c>
      <c r="G100" s="1750" t="s">
        <v>77</v>
      </c>
      <c r="H100" s="1829" t="s">
        <v>1240</v>
      </c>
      <c r="I100" s="1754"/>
      <c r="J100" s="1754"/>
      <c r="K100" s="1754"/>
      <c r="L100" s="1754"/>
      <c r="M100" s="1754"/>
      <c r="N100" s="1754"/>
      <c r="O100" s="1754"/>
      <c r="P100" s="1754"/>
      <c r="Q100" s="1754"/>
      <c r="R100" s="1754"/>
      <c r="S100" s="1754"/>
      <c r="T100" s="1754"/>
      <c r="U100" s="1824" t="s">
        <v>1220</v>
      </c>
    </row>
    <row r="101" spans="1:21" ht="18.75">
      <c r="A101" s="1746"/>
      <c r="B101" s="1746"/>
      <c r="C101" s="1818"/>
      <c r="D101" s="1818"/>
      <c r="E101" s="1042" t="s">
        <v>4</v>
      </c>
      <c r="F101" s="938">
        <v>11200</v>
      </c>
      <c r="G101" s="1752"/>
      <c r="H101" s="1722"/>
      <c r="I101" s="1756"/>
      <c r="J101" s="1756"/>
      <c r="K101" s="1756"/>
      <c r="L101" s="1756"/>
      <c r="M101" s="1756"/>
      <c r="N101" s="1756"/>
      <c r="O101" s="1756"/>
      <c r="P101" s="1756"/>
      <c r="Q101" s="1756"/>
      <c r="R101" s="1756"/>
      <c r="S101" s="1756"/>
      <c r="T101" s="1756"/>
      <c r="U101" s="1825"/>
    </row>
    <row r="102" spans="1:21" ht="56.25">
      <c r="A102" s="240" t="s">
        <v>1241</v>
      </c>
      <c r="B102" s="240" t="s">
        <v>1242</v>
      </c>
      <c r="C102" s="386"/>
      <c r="D102" s="240" t="s">
        <v>1243</v>
      </c>
      <c r="E102" s="382" t="s">
        <v>1244</v>
      </c>
      <c r="F102" s="203"/>
      <c r="G102" s="388" t="s">
        <v>1245</v>
      </c>
      <c r="H102" s="389">
        <v>22555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390" t="s">
        <v>1172</v>
      </c>
    </row>
    <row r="103" spans="1:21" ht="56.25">
      <c r="A103" s="240" t="s">
        <v>1246</v>
      </c>
      <c r="B103" s="240" t="s">
        <v>1247</v>
      </c>
      <c r="C103" s="303"/>
      <c r="D103" s="240" t="s">
        <v>1248</v>
      </c>
      <c r="E103" s="382" t="s">
        <v>1244</v>
      </c>
      <c r="F103" s="341"/>
      <c r="G103" s="388" t="s">
        <v>1245</v>
      </c>
      <c r="H103" s="391" t="s">
        <v>1240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390" t="s">
        <v>1172</v>
      </c>
    </row>
    <row r="104" spans="1:21" ht="18.75">
      <c r="A104" s="392"/>
      <c r="B104" s="393"/>
      <c r="C104" s="393"/>
      <c r="D104" s="392"/>
      <c r="E104" s="290" t="s">
        <v>139</v>
      </c>
      <c r="F104" s="280">
        <f>F10+F12+F19+F24+F33+F50+F59+F64+F70+F74+F78+F83+F92+F96+F99+F101</f>
        <v>429640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21.75">
      <c r="A105" s="394" t="s">
        <v>1441</v>
      </c>
      <c r="B105" s="394"/>
      <c r="C105" s="394"/>
      <c r="D105" s="394"/>
      <c r="E105" s="346"/>
    </row>
    <row r="106" spans="1:21" ht="18.75">
      <c r="A106" s="1833" t="s">
        <v>1431</v>
      </c>
      <c r="B106" s="1834"/>
      <c r="C106" s="1834"/>
      <c r="D106" s="1834"/>
      <c r="E106" s="1834"/>
      <c r="F106" s="1834"/>
      <c r="G106" s="1834"/>
      <c r="H106" s="1834"/>
      <c r="I106" s="1834"/>
      <c r="J106" s="1834"/>
      <c r="K106" s="1834"/>
      <c r="L106" s="1834"/>
      <c r="M106" s="1834"/>
      <c r="N106" s="1834"/>
      <c r="O106" s="1834"/>
      <c r="P106" s="1834"/>
      <c r="Q106" s="1834"/>
      <c r="R106" s="1834"/>
      <c r="S106" s="1834"/>
      <c r="T106" s="1834"/>
      <c r="U106" s="1835"/>
    </row>
    <row r="107" spans="1:21" s="29" customFormat="1" ht="112.5">
      <c r="A107" s="198" t="s">
        <v>1435</v>
      </c>
      <c r="B107" s="199" t="s">
        <v>1438</v>
      </c>
      <c r="C107" s="200" t="s">
        <v>1437</v>
      </c>
      <c r="D107" s="201" t="s">
        <v>1436</v>
      </c>
      <c r="E107" s="202" t="s">
        <v>1439</v>
      </c>
      <c r="F107" s="203">
        <v>32400</v>
      </c>
      <c r="G107" s="204" t="s">
        <v>1249</v>
      </c>
      <c r="H107" s="205" t="s">
        <v>1250</v>
      </c>
      <c r="I107" s="206">
        <v>5400</v>
      </c>
      <c r="J107" s="207"/>
      <c r="K107" s="206">
        <v>5400</v>
      </c>
      <c r="L107" s="207"/>
      <c r="M107" s="206">
        <v>5400</v>
      </c>
      <c r="N107" s="207"/>
      <c r="O107" s="206">
        <v>5400</v>
      </c>
      <c r="P107" s="207"/>
      <c r="Q107" s="206">
        <v>54000</v>
      </c>
      <c r="R107" s="206">
        <v>5400</v>
      </c>
      <c r="S107" s="207"/>
      <c r="T107" s="207"/>
      <c r="U107" s="205" t="s">
        <v>1251</v>
      </c>
    </row>
    <row r="108" spans="1:21" s="29" customFormat="1" ht="75">
      <c r="A108" s="243" t="s">
        <v>1434</v>
      </c>
      <c r="B108" s="243" t="s">
        <v>1252</v>
      </c>
      <c r="C108" s="200" t="s">
        <v>1253</v>
      </c>
      <c r="D108" s="201" t="s">
        <v>1254</v>
      </c>
      <c r="E108" s="210" t="s">
        <v>1430</v>
      </c>
      <c r="F108" s="203">
        <v>10000</v>
      </c>
      <c r="G108" s="204" t="s">
        <v>1249</v>
      </c>
      <c r="H108" s="205" t="s">
        <v>1250</v>
      </c>
      <c r="I108" s="206"/>
      <c r="J108" s="206"/>
      <c r="K108" s="206">
        <v>2000</v>
      </c>
      <c r="L108" s="206"/>
      <c r="M108" s="206">
        <v>2000</v>
      </c>
      <c r="N108" s="206"/>
      <c r="O108" s="206">
        <v>2000</v>
      </c>
      <c r="P108" s="206"/>
      <c r="Q108" s="206">
        <v>2000</v>
      </c>
      <c r="R108" s="206">
        <v>2000</v>
      </c>
      <c r="S108" s="206"/>
      <c r="T108" s="206"/>
      <c r="U108" s="208"/>
    </row>
    <row r="109" spans="1:21" s="29" customFormat="1" ht="112.5">
      <c r="A109" s="243" t="s">
        <v>1255</v>
      </c>
      <c r="B109" s="243" t="s">
        <v>1256</v>
      </c>
      <c r="C109" s="209" t="s">
        <v>1257</v>
      </c>
      <c r="D109" s="243" t="s">
        <v>1258</v>
      </c>
      <c r="E109" s="209" t="s">
        <v>1442</v>
      </c>
      <c r="F109" s="203">
        <v>315000</v>
      </c>
      <c r="G109" s="204" t="s">
        <v>1249</v>
      </c>
      <c r="H109" s="205" t="s">
        <v>1250</v>
      </c>
      <c r="I109" s="206"/>
      <c r="J109" s="206"/>
      <c r="K109" s="206">
        <v>280000</v>
      </c>
      <c r="L109" s="206"/>
      <c r="M109" s="206">
        <v>35000</v>
      </c>
      <c r="N109" s="206"/>
      <c r="O109" s="206"/>
      <c r="P109" s="206"/>
      <c r="Q109" s="206"/>
      <c r="R109" s="206"/>
      <c r="S109" s="206"/>
      <c r="T109" s="206"/>
      <c r="U109" s="208"/>
    </row>
    <row r="110" spans="1:21" s="29" customFormat="1" ht="150">
      <c r="A110" s="198" t="s">
        <v>1259</v>
      </c>
      <c r="B110" s="243" t="s">
        <v>1260</v>
      </c>
      <c r="C110" s="200" t="s">
        <v>1261</v>
      </c>
      <c r="D110" s="243" t="s">
        <v>1262</v>
      </c>
      <c r="E110" s="210" t="s">
        <v>1263</v>
      </c>
      <c r="F110" s="203">
        <v>76000</v>
      </c>
      <c r="G110" s="204" t="s">
        <v>1249</v>
      </c>
      <c r="H110" s="395">
        <v>22951</v>
      </c>
      <c r="I110" s="206"/>
      <c r="J110" s="206">
        <v>76000</v>
      </c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8"/>
    </row>
    <row r="111" spans="1:21" s="29" customFormat="1" ht="225">
      <c r="A111" s="198" t="s">
        <v>1264</v>
      </c>
      <c r="B111" s="243" t="s">
        <v>1265</v>
      </c>
      <c r="C111" s="200" t="s">
        <v>1266</v>
      </c>
      <c r="D111" s="243" t="s">
        <v>1267</v>
      </c>
      <c r="E111" s="210" t="s">
        <v>1268</v>
      </c>
      <c r="F111" s="203">
        <v>200000</v>
      </c>
      <c r="G111" s="204" t="s">
        <v>1249</v>
      </c>
      <c r="H111" s="395">
        <v>22706</v>
      </c>
      <c r="I111" s="206"/>
      <c r="J111" s="206"/>
      <c r="K111" s="206"/>
      <c r="L111" s="206"/>
      <c r="M111" s="206"/>
      <c r="N111" s="206">
        <v>200000</v>
      </c>
      <c r="O111" s="206"/>
      <c r="P111" s="206"/>
      <c r="Q111" s="206"/>
      <c r="R111" s="206"/>
      <c r="S111" s="206"/>
      <c r="T111" s="206"/>
      <c r="U111" s="208"/>
    </row>
    <row r="112" spans="1:21" s="29" customFormat="1" ht="131.25">
      <c r="A112" s="199" t="s">
        <v>1269</v>
      </c>
      <c r="B112" s="199" t="s">
        <v>1270</v>
      </c>
      <c r="C112" s="200" t="s">
        <v>1271</v>
      </c>
      <c r="D112" s="198" t="s">
        <v>1272</v>
      </c>
      <c r="E112" s="210" t="s">
        <v>1443</v>
      </c>
      <c r="F112" s="203">
        <v>49920</v>
      </c>
      <c r="G112" s="204"/>
      <c r="H112" s="205" t="s">
        <v>1273</v>
      </c>
      <c r="I112" s="206"/>
      <c r="J112" s="206"/>
      <c r="K112" s="206"/>
      <c r="L112" s="206">
        <v>24960</v>
      </c>
      <c r="M112" s="206"/>
      <c r="N112" s="206"/>
      <c r="O112" s="206">
        <v>24960</v>
      </c>
      <c r="P112" s="206"/>
      <c r="Q112" s="206"/>
      <c r="R112" s="206"/>
      <c r="S112" s="206"/>
      <c r="T112" s="206"/>
      <c r="U112" s="208"/>
    </row>
    <row r="113" spans="1:21" s="29" customFormat="1" ht="55.5">
      <c r="A113" s="243" t="s">
        <v>1274</v>
      </c>
      <c r="B113" s="243" t="s">
        <v>1275</v>
      </c>
      <c r="C113" s="209" t="s">
        <v>1276</v>
      </c>
      <c r="D113" s="198" t="s">
        <v>1277</v>
      </c>
      <c r="E113" s="210" t="s">
        <v>1278</v>
      </c>
      <c r="F113" s="203">
        <v>180000</v>
      </c>
      <c r="G113" s="204" t="s">
        <v>1249</v>
      </c>
      <c r="H113" s="395">
        <v>22586</v>
      </c>
      <c r="I113" s="206"/>
      <c r="J113" s="206">
        <v>180000</v>
      </c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8"/>
    </row>
    <row r="114" spans="1:21" s="29" customFormat="1" ht="93.75">
      <c r="A114" s="102" t="s">
        <v>1279</v>
      </c>
      <c r="B114" s="199" t="s">
        <v>1280</v>
      </c>
      <c r="C114" s="200" t="s">
        <v>1281</v>
      </c>
      <c r="D114" s="211" t="s">
        <v>1282</v>
      </c>
      <c r="E114" s="210" t="s">
        <v>1283</v>
      </c>
      <c r="F114" s="203">
        <v>236400</v>
      </c>
      <c r="G114" s="204" t="s">
        <v>1249</v>
      </c>
      <c r="H114" s="205" t="s">
        <v>1250</v>
      </c>
      <c r="I114" s="206">
        <v>19700</v>
      </c>
      <c r="J114" s="206">
        <v>19700</v>
      </c>
      <c r="K114" s="206">
        <v>19700</v>
      </c>
      <c r="L114" s="206">
        <v>19700</v>
      </c>
      <c r="M114" s="206">
        <v>19700</v>
      </c>
      <c r="N114" s="206">
        <v>19700</v>
      </c>
      <c r="O114" s="206">
        <v>19700</v>
      </c>
      <c r="P114" s="206">
        <v>19700</v>
      </c>
      <c r="Q114" s="206">
        <v>19700</v>
      </c>
      <c r="R114" s="206">
        <v>19700</v>
      </c>
      <c r="S114" s="206">
        <v>19700</v>
      </c>
      <c r="T114" s="206">
        <v>19700</v>
      </c>
      <c r="U114" s="205"/>
    </row>
    <row r="115" spans="1:21" s="29" customFormat="1" ht="56.25">
      <c r="A115" s="212" t="s">
        <v>1284</v>
      </c>
      <c r="B115" s="199" t="s">
        <v>1285</v>
      </c>
      <c r="C115" s="200" t="s">
        <v>1286</v>
      </c>
      <c r="D115" s="213" t="s">
        <v>1287</v>
      </c>
      <c r="E115" s="214" t="s">
        <v>1444</v>
      </c>
      <c r="F115" s="203">
        <v>30000</v>
      </c>
      <c r="G115" s="204"/>
      <c r="H115" s="205" t="s">
        <v>1288</v>
      </c>
      <c r="I115" s="206"/>
      <c r="J115" s="206"/>
      <c r="K115" s="206"/>
      <c r="L115" s="206"/>
      <c r="M115" s="206"/>
      <c r="N115" s="206">
        <v>30000</v>
      </c>
      <c r="O115" s="206"/>
      <c r="P115" s="206"/>
      <c r="Q115" s="206"/>
      <c r="R115" s="206"/>
      <c r="S115" s="206"/>
      <c r="T115" s="206"/>
      <c r="U115" s="205"/>
    </row>
    <row r="116" spans="1:21" s="29" customFormat="1" ht="75">
      <c r="A116" s="243" t="s">
        <v>1289</v>
      </c>
      <c r="B116" s="243" t="s">
        <v>1290</v>
      </c>
      <c r="C116" s="243" t="s">
        <v>1291</v>
      </c>
      <c r="D116" s="243" t="s">
        <v>1292</v>
      </c>
      <c r="E116" s="353" t="s">
        <v>1293</v>
      </c>
      <c r="F116" s="321">
        <v>52280</v>
      </c>
      <c r="G116" s="281" t="s">
        <v>1249</v>
      </c>
      <c r="H116" s="205" t="s">
        <v>1250</v>
      </c>
      <c r="I116" s="396">
        <v>4000</v>
      </c>
      <c r="J116" s="396">
        <v>4000</v>
      </c>
      <c r="K116" s="396">
        <v>4000</v>
      </c>
      <c r="L116" s="396">
        <v>4000</v>
      </c>
      <c r="M116" s="396">
        <v>4000</v>
      </c>
      <c r="N116" s="396">
        <v>4000</v>
      </c>
      <c r="O116" s="396">
        <v>4000</v>
      </c>
      <c r="P116" s="396">
        <v>4000</v>
      </c>
      <c r="Q116" s="396">
        <v>4000</v>
      </c>
      <c r="R116" s="396">
        <v>4000</v>
      </c>
      <c r="S116" s="396">
        <v>6000</v>
      </c>
      <c r="T116" s="396">
        <v>6280</v>
      </c>
      <c r="U116" s="281"/>
    </row>
    <row r="117" spans="1:21" s="29" customFormat="1" ht="18.75">
      <c r="A117" s="1833" t="s">
        <v>1432</v>
      </c>
      <c r="B117" s="1834"/>
      <c r="C117" s="1834"/>
      <c r="D117" s="1834"/>
      <c r="E117" s="1834"/>
      <c r="F117" s="1834"/>
      <c r="G117" s="1834"/>
      <c r="H117" s="1834"/>
      <c r="I117" s="1834"/>
      <c r="J117" s="1834"/>
      <c r="K117" s="1834"/>
      <c r="L117" s="1834"/>
      <c r="M117" s="1834"/>
      <c r="N117" s="1834"/>
      <c r="O117" s="1834"/>
      <c r="P117" s="1834"/>
      <c r="Q117" s="1834"/>
      <c r="R117" s="1834"/>
      <c r="S117" s="1834"/>
      <c r="T117" s="1834"/>
      <c r="U117" s="1835"/>
    </row>
    <row r="118" spans="1:21" s="29" customFormat="1" ht="271.5" customHeight="1">
      <c r="A118" s="198" t="s">
        <v>1294</v>
      </c>
      <c r="B118" s="243" t="s">
        <v>1265</v>
      </c>
      <c r="C118" s="200" t="s">
        <v>1295</v>
      </c>
      <c r="D118" s="243" t="s">
        <v>1267</v>
      </c>
      <c r="E118" s="210" t="s">
        <v>1296</v>
      </c>
      <c r="F118" s="203">
        <v>200000</v>
      </c>
      <c r="G118" s="204" t="s">
        <v>1249</v>
      </c>
      <c r="H118" s="395">
        <v>22616</v>
      </c>
      <c r="I118" s="206"/>
      <c r="J118" s="206"/>
      <c r="K118" s="206">
        <v>200000</v>
      </c>
      <c r="L118" s="206"/>
      <c r="M118" s="206"/>
      <c r="N118" s="206"/>
      <c r="O118" s="206"/>
      <c r="P118" s="206"/>
      <c r="Q118" s="206"/>
      <c r="R118" s="206"/>
      <c r="S118" s="206"/>
      <c r="T118" s="206"/>
      <c r="U118" s="208"/>
    </row>
    <row r="119" spans="1:21" s="29" customFormat="1" ht="93.75">
      <c r="A119" s="243" t="s">
        <v>1297</v>
      </c>
      <c r="B119" s="243" t="s">
        <v>1298</v>
      </c>
      <c r="C119" s="243" t="s">
        <v>1299</v>
      </c>
      <c r="D119" s="243" t="s">
        <v>1300</v>
      </c>
      <c r="E119" s="320" t="s">
        <v>1301</v>
      </c>
      <c r="F119" s="321">
        <v>6000</v>
      </c>
      <c r="G119" s="281" t="s">
        <v>1249</v>
      </c>
      <c r="H119" s="205" t="s">
        <v>1250</v>
      </c>
      <c r="I119" s="396">
        <v>500</v>
      </c>
      <c r="J119" s="396">
        <v>500</v>
      </c>
      <c r="K119" s="396">
        <v>500</v>
      </c>
      <c r="L119" s="396">
        <v>500</v>
      </c>
      <c r="M119" s="396">
        <v>500</v>
      </c>
      <c r="N119" s="396">
        <v>500</v>
      </c>
      <c r="O119" s="396">
        <v>500</v>
      </c>
      <c r="P119" s="396">
        <v>500</v>
      </c>
      <c r="Q119" s="396">
        <v>500</v>
      </c>
      <c r="R119" s="396">
        <v>500</v>
      </c>
      <c r="S119" s="396">
        <v>500</v>
      </c>
      <c r="T119" s="396">
        <v>500</v>
      </c>
      <c r="U119" s="281"/>
    </row>
    <row r="120" spans="1:21" s="29" customFormat="1" ht="18.75">
      <c r="A120" s="1836" t="s">
        <v>1433</v>
      </c>
      <c r="B120" s="1837"/>
      <c r="C120" s="1837"/>
      <c r="D120" s="1837"/>
      <c r="E120" s="1837"/>
      <c r="F120" s="1837"/>
      <c r="G120" s="1837"/>
      <c r="H120" s="1837"/>
      <c r="I120" s="1837"/>
      <c r="J120" s="1837"/>
      <c r="K120" s="1837"/>
      <c r="L120" s="1837"/>
      <c r="M120" s="1837"/>
      <c r="N120" s="1837"/>
      <c r="O120" s="1837"/>
      <c r="P120" s="1837"/>
      <c r="Q120" s="1837"/>
      <c r="R120" s="1837"/>
      <c r="S120" s="1837"/>
      <c r="T120" s="1838"/>
      <c r="U120" s="284"/>
    </row>
    <row r="121" spans="1:21" s="29" customFormat="1" ht="75">
      <c r="A121" s="243" t="s">
        <v>1302</v>
      </c>
      <c r="B121" s="243" t="s">
        <v>1303</v>
      </c>
      <c r="C121" s="243" t="s">
        <v>1304</v>
      </c>
      <c r="D121" s="243" t="s">
        <v>1305</v>
      </c>
      <c r="E121" s="320" t="s">
        <v>1306</v>
      </c>
      <c r="F121" s="321">
        <v>6000</v>
      </c>
      <c r="G121" s="284" t="s">
        <v>77</v>
      </c>
      <c r="H121" s="397">
        <v>22798</v>
      </c>
      <c r="I121" s="283"/>
      <c r="J121" s="283"/>
      <c r="K121" s="283"/>
      <c r="L121" s="283"/>
      <c r="M121" s="283"/>
      <c r="N121" s="283"/>
      <c r="O121" s="283"/>
      <c r="P121" s="283"/>
      <c r="Q121" s="398">
        <v>6000</v>
      </c>
      <c r="R121" s="283"/>
      <c r="S121" s="283"/>
      <c r="T121" s="283"/>
      <c r="U121" s="284"/>
    </row>
    <row r="122" spans="1:21" s="29" customFormat="1" ht="42">
      <c r="A122" s="243" t="s">
        <v>1307</v>
      </c>
      <c r="B122" s="243" t="s">
        <v>1308</v>
      </c>
      <c r="C122" s="243" t="s">
        <v>1309</v>
      </c>
      <c r="D122" s="243"/>
      <c r="E122" s="353" t="s">
        <v>1310</v>
      </c>
      <c r="F122" s="321">
        <v>6000</v>
      </c>
      <c r="G122" s="281" t="s">
        <v>77</v>
      </c>
      <c r="H122" s="399">
        <v>22767</v>
      </c>
      <c r="I122" s="282"/>
      <c r="J122" s="282"/>
      <c r="K122" s="282"/>
      <c r="L122" s="282"/>
      <c r="M122" s="282"/>
      <c r="N122" s="282"/>
      <c r="O122" s="282"/>
      <c r="P122" s="396">
        <v>6000</v>
      </c>
      <c r="Q122" s="396"/>
      <c r="R122" s="282"/>
      <c r="S122" s="282"/>
      <c r="T122" s="282"/>
      <c r="U122" s="281"/>
    </row>
    <row r="123" spans="1:21" s="29" customFormat="1" ht="18.75">
      <c r="E123" s="400" t="s">
        <v>1065</v>
      </c>
      <c r="F123" s="215">
        <f>F107+F108+F109+F110+F111+F112+F113+F114+F115+F116+F118+F119+F121+F122</f>
        <v>1400000</v>
      </c>
      <c r="G123" s="357"/>
      <c r="H123" s="357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58"/>
    </row>
    <row r="125" spans="1:21" ht="21.75">
      <c r="A125" s="401" t="s">
        <v>140</v>
      </c>
      <c r="B125" s="402" t="s">
        <v>1311</v>
      </c>
      <c r="C125" s="402"/>
      <c r="D125" s="402"/>
      <c r="E125" s="216" t="s">
        <v>1312</v>
      </c>
      <c r="F125" s="403"/>
      <c r="G125" s="404"/>
      <c r="H125" s="404"/>
    </row>
    <row r="126" spans="1:21" ht="18.75">
      <c r="A126" s="217" t="s">
        <v>13</v>
      </c>
      <c r="B126" s="218">
        <v>120000</v>
      </c>
      <c r="C126" s="219"/>
      <c r="D126" s="219"/>
      <c r="E126" s="222" t="s">
        <v>1313</v>
      </c>
      <c r="F126" s="220">
        <f>F10+F12+F19+F24+F33</f>
        <v>156640</v>
      </c>
      <c r="G126" s="405"/>
      <c r="H126" s="405"/>
    </row>
    <row r="127" spans="1:21" ht="18.75">
      <c r="A127" s="217" t="s">
        <v>1314</v>
      </c>
      <c r="B127" s="218">
        <v>150000</v>
      </c>
      <c r="C127" s="219"/>
      <c r="D127" s="219"/>
      <c r="E127" s="222" t="s">
        <v>1315</v>
      </c>
      <c r="F127" s="220">
        <f>F50+F59+F64+F70+F74+F78+F83</f>
        <v>206000</v>
      </c>
      <c r="G127" s="405"/>
      <c r="H127" s="405"/>
    </row>
    <row r="128" spans="1:21" ht="18.75">
      <c r="A128" s="217" t="s">
        <v>454</v>
      </c>
      <c r="B128" s="220">
        <v>159640</v>
      </c>
      <c r="C128" s="219"/>
      <c r="D128" s="219"/>
      <c r="E128" s="222" t="s">
        <v>1316</v>
      </c>
      <c r="F128" s="220">
        <f>F92+F96+F99+F101</f>
        <v>67000</v>
      </c>
      <c r="G128" s="405"/>
      <c r="H128" s="405"/>
    </row>
    <row r="129" spans="1:8" ht="18.75">
      <c r="A129" s="221" t="s">
        <v>4</v>
      </c>
      <c r="B129" s="218">
        <f>SUM(B126:B128)</f>
        <v>429640</v>
      </c>
      <c r="C129" s="219"/>
      <c r="D129" s="219"/>
      <c r="E129" s="222"/>
      <c r="F129" s="223">
        <f>SUM(F126:F128)</f>
        <v>429640</v>
      </c>
      <c r="G129" s="405"/>
      <c r="H129" s="405"/>
    </row>
    <row r="130" spans="1:8" ht="18.75">
      <c r="A130" s="224" t="s">
        <v>12</v>
      </c>
      <c r="B130" s="225">
        <f>F107+F108+F109+F110+F111+F112+F113+F114+F115+F116+F118+F119</f>
        <v>1388000</v>
      </c>
      <c r="C130" s="219"/>
      <c r="D130" s="219"/>
      <c r="E130" s="219" t="s">
        <v>1317</v>
      </c>
      <c r="F130" s="226">
        <v>1400000</v>
      </c>
      <c r="G130" s="405"/>
      <c r="H130" s="405"/>
    </row>
    <row r="131" spans="1:8" ht="18.75">
      <c r="A131" s="227" t="s">
        <v>454</v>
      </c>
      <c r="B131" s="228">
        <f>F121+F122</f>
        <v>12000</v>
      </c>
      <c r="C131" s="29"/>
      <c r="D131" s="29"/>
      <c r="E131" s="29"/>
      <c r="F131" s="29"/>
    </row>
    <row r="132" spans="1:8" ht="18.75">
      <c r="A132" s="227"/>
      <c r="B132" s="228">
        <f>SUM(B130:B131)</f>
        <v>1400000</v>
      </c>
      <c r="C132" s="29"/>
      <c r="D132" s="29"/>
      <c r="E132" s="29"/>
      <c r="F132" s="29"/>
    </row>
    <row r="133" spans="1:8" ht="18.75">
      <c r="A133" s="29"/>
      <c r="B133" s="29"/>
      <c r="C133" s="29"/>
      <c r="D133" s="29"/>
      <c r="E133" s="29"/>
      <c r="F133" s="29"/>
    </row>
    <row r="134" spans="1:8" ht="18.75">
      <c r="A134" s="29"/>
      <c r="B134" s="29"/>
      <c r="C134" s="29"/>
      <c r="D134" s="29"/>
      <c r="E134" s="29"/>
      <c r="F134" s="29"/>
    </row>
    <row r="135" spans="1:8" ht="18.75">
      <c r="A135" s="29"/>
      <c r="B135" s="29"/>
      <c r="C135" s="29"/>
      <c r="D135" s="29"/>
      <c r="E135" s="29"/>
      <c r="F135" s="29"/>
    </row>
  </sheetData>
  <mergeCells count="326"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I100:I101"/>
    <mergeCell ref="J100:J101"/>
    <mergeCell ref="A100:A101"/>
    <mergeCell ref="B100:B101"/>
    <mergeCell ref="C100:C101"/>
    <mergeCell ref="D100:D101"/>
    <mergeCell ref="G100:G101"/>
    <mergeCell ref="H100:H101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U85:U91"/>
    <mergeCell ref="O85:O91"/>
    <mergeCell ref="P85:P91"/>
    <mergeCell ref="Q85:Q91"/>
    <mergeCell ref="R85:R91"/>
    <mergeCell ref="S85:S91"/>
    <mergeCell ref="A84:U84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S93:S95"/>
    <mergeCell ref="T93:T95"/>
    <mergeCell ref="U93:U95"/>
    <mergeCell ref="O93:O95"/>
    <mergeCell ref="P93:P95"/>
    <mergeCell ref="M85:M91"/>
    <mergeCell ref="A85:A92"/>
    <mergeCell ref="B85:B92"/>
    <mergeCell ref="C85:C92"/>
    <mergeCell ref="D85:D92"/>
    <mergeCell ref="G85:G91"/>
    <mergeCell ref="L85:L91"/>
    <mergeCell ref="T85:T91"/>
    <mergeCell ref="A75:A78"/>
    <mergeCell ref="B75:B78"/>
    <mergeCell ref="R79:R83"/>
    <mergeCell ref="S79:S83"/>
    <mergeCell ref="T79:T83"/>
    <mergeCell ref="N75:N78"/>
    <mergeCell ref="O75:O78"/>
    <mergeCell ref="P75:P78"/>
    <mergeCell ref="Q75:Q78"/>
    <mergeCell ref="P79:P83"/>
    <mergeCell ref="Q79:Q83"/>
    <mergeCell ref="A79:A83"/>
    <mergeCell ref="B79:B83"/>
    <mergeCell ref="C79:C83"/>
    <mergeCell ref="D79:D83"/>
    <mergeCell ref="G79:G83"/>
    <mergeCell ref="H79:H83"/>
    <mergeCell ref="C75:C78"/>
    <mergeCell ref="D75:D78"/>
    <mergeCell ref="G75:G78"/>
    <mergeCell ref="H75:H78"/>
    <mergeCell ref="U79:U83"/>
    <mergeCell ref="L79:L83"/>
    <mergeCell ref="M79:M83"/>
    <mergeCell ref="N79:N83"/>
    <mergeCell ref="O79:O83"/>
    <mergeCell ref="I79:I83"/>
    <mergeCell ref="J79:J83"/>
    <mergeCell ref="K79:K83"/>
    <mergeCell ref="S65:S69"/>
    <mergeCell ref="T65:T69"/>
    <mergeCell ref="I65:I69"/>
    <mergeCell ref="J65:J69"/>
    <mergeCell ref="K65:K69"/>
    <mergeCell ref="L65:L69"/>
    <mergeCell ref="M65:M69"/>
    <mergeCell ref="R75:R78"/>
    <mergeCell ref="S75:S78"/>
    <mergeCell ref="T75:T78"/>
    <mergeCell ref="I75:I78"/>
    <mergeCell ref="J75:J78"/>
    <mergeCell ref="K75:K78"/>
    <mergeCell ref="L75:L78"/>
    <mergeCell ref="M75:M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A65:A70"/>
    <mergeCell ref="B65:B70"/>
    <mergeCell ref="C65:C70"/>
    <mergeCell ref="D65:D70"/>
    <mergeCell ref="G65:G69"/>
    <mergeCell ref="H65:H69"/>
    <mergeCell ref="P65:P69"/>
    <mergeCell ref="Q65:Q69"/>
    <mergeCell ref="N65:N69"/>
    <mergeCell ref="U75:U78"/>
    <mergeCell ref="R65:R69"/>
    <mergeCell ref="K51:K58"/>
    <mergeCell ref="L51:L58"/>
    <mergeCell ref="M51:M58"/>
    <mergeCell ref="N51:N58"/>
    <mergeCell ref="S51:S58"/>
    <mergeCell ref="T51:T58"/>
    <mergeCell ref="U51:U58"/>
    <mergeCell ref="S60:S63"/>
    <mergeCell ref="T60:T63"/>
    <mergeCell ref="U60:U63"/>
    <mergeCell ref="R60:R63"/>
    <mergeCell ref="O60:O63"/>
    <mergeCell ref="P60:P63"/>
    <mergeCell ref="Q60:Q63"/>
    <mergeCell ref="L60:L63"/>
    <mergeCell ref="M60:M63"/>
    <mergeCell ref="N60:N63"/>
    <mergeCell ref="R51:R58"/>
    <mergeCell ref="A60:A64"/>
    <mergeCell ref="B60:B64"/>
    <mergeCell ref="C60:C64"/>
    <mergeCell ref="D60:D64"/>
    <mergeCell ref="G60:G63"/>
    <mergeCell ref="H60:H63"/>
    <mergeCell ref="A35:A50"/>
    <mergeCell ref="B35:B50"/>
    <mergeCell ref="C35:C50"/>
    <mergeCell ref="D35:D50"/>
    <mergeCell ref="G35:G45"/>
    <mergeCell ref="H35:H45"/>
    <mergeCell ref="A51:A59"/>
    <mergeCell ref="B51:B59"/>
    <mergeCell ref="I60:I63"/>
    <mergeCell ref="J60:J63"/>
    <mergeCell ref="K60:K63"/>
    <mergeCell ref="I35:I45"/>
    <mergeCell ref="J35:J45"/>
    <mergeCell ref="C51:C59"/>
    <mergeCell ref="D51:D59"/>
    <mergeCell ref="G51:G58"/>
    <mergeCell ref="H51:H58"/>
    <mergeCell ref="G46:G49"/>
    <mergeCell ref="H46:H49"/>
    <mergeCell ref="I51:I58"/>
    <mergeCell ref="J51:J58"/>
    <mergeCell ref="I46:I49"/>
    <mergeCell ref="J46:J49"/>
    <mergeCell ref="K46:K49"/>
    <mergeCell ref="K35:K45"/>
    <mergeCell ref="T46:T49"/>
    <mergeCell ref="U46:U49"/>
    <mergeCell ref="O46:O49"/>
    <mergeCell ref="P46:P49"/>
    <mergeCell ref="Q46:Q49"/>
    <mergeCell ref="O51:O58"/>
    <mergeCell ref="P51:P58"/>
    <mergeCell ref="Q51:Q58"/>
    <mergeCell ref="Q35:Q45"/>
    <mergeCell ref="R35:R45"/>
    <mergeCell ref="S35:S45"/>
    <mergeCell ref="T35:T45"/>
    <mergeCell ref="O35:O45"/>
    <mergeCell ref="U35:U45"/>
    <mergeCell ref="R46:R49"/>
    <mergeCell ref="S46:S49"/>
    <mergeCell ref="L35:L45"/>
    <mergeCell ref="M35:M45"/>
    <mergeCell ref="N35:N45"/>
    <mergeCell ref="P35:P45"/>
    <mergeCell ref="N46:N49"/>
    <mergeCell ref="L46:L49"/>
    <mergeCell ref="M46:M49"/>
    <mergeCell ref="C13:C19"/>
    <mergeCell ref="D13:D19"/>
    <mergeCell ref="G13:G19"/>
    <mergeCell ref="H13:H19"/>
    <mergeCell ref="J25:J33"/>
    <mergeCell ref="K25:K33"/>
    <mergeCell ref="L25:L33"/>
    <mergeCell ref="M25:M33"/>
    <mergeCell ref="N25:N33"/>
    <mergeCell ref="A34:U34"/>
    <mergeCell ref="I25:I33"/>
    <mergeCell ref="Q25:Q33"/>
    <mergeCell ref="R25:R33"/>
    <mergeCell ref="S25:S33"/>
    <mergeCell ref="U25:U33"/>
    <mergeCell ref="O25:O33"/>
    <mergeCell ref="P25:P33"/>
    <mergeCell ref="U20:U23"/>
    <mergeCell ref="A25:A33"/>
    <mergeCell ref="B25:B33"/>
    <mergeCell ref="C25:C33"/>
    <mergeCell ref="D25:D33"/>
    <mergeCell ref="G25:G33"/>
    <mergeCell ref="H25:H33"/>
    <mergeCell ref="I20:I23"/>
    <mergeCell ref="J20:J23"/>
    <mergeCell ref="K20:K23"/>
    <mergeCell ref="T25:T33"/>
    <mergeCell ref="L20:L23"/>
    <mergeCell ref="M20:M23"/>
    <mergeCell ref="N20:N23"/>
    <mergeCell ref="O20:O23"/>
    <mergeCell ref="P20:P23"/>
    <mergeCell ref="Q20:Q23"/>
    <mergeCell ref="R20:R23"/>
    <mergeCell ref="S20:S23"/>
    <mergeCell ref="T20:T23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S13:S19"/>
    <mergeCell ref="T13:T19"/>
    <mergeCell ref="I13:I19"/>
    <mergeCell ref="J13:J19"/>
    <mergeCell ref="K13:K19"/>
    <mergeCell ref="L13:L19"/>
    <mergeCell ref="M13:M19"/>
    <mergeCell ref="N13:N19"/>
    <mergeCell ref="A13:A19"/>
    <mergeCell ref="B13:B19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A1:U1"/>
    <mergeCell ref="A2:D2"/>
    <mergeCell ref="A3:D3"/>
    <mergeCell ref="A4:A6"/>
    <mergeCell ref="B4:B6"/>
    <mergeCell ref="C4:C6"/>
    <mergeCell ref="U4:U6"/>
    <mergeCell ref="E5:E6"/>
    <mergeCell ref="F5:F6"/>
    <mergeCell ref="G5:G6"/>
    <mergeCell ref="K5:K6"/>
    <mergeCell ref="L5:L6"/>
    <mergeCell ref="O5:O6"/>
    <mergeCell ref="P5:P6"/>
    <mergeCell ref="D4:D6"/>
    <mergeCell ref="E4:G4"/>
    <mergeCell ref="H4:H6"/>
    <mergeCell ref="I4:T4"/>
    <mergeCell ref="Q5:Q6"/>
    <mergeCell ref="R5:R6"/>
    <mergeCell ref="S5:S6"/>
    <mergeCell ref="T5:T6"/>
    <mergeCell ref="I5:I6"/>
    <mergeCell ref="J5:J6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D1" zoomScale="110" zoomScaleNormal="110" workbookViewId="0">
      <selection activeCell="H2" sqref="H1:U65536"/>
    </sheetView>
  </sheetViews>
  <sheetFormatPr defaultColWidth="9" defaultRowHeight="15"/>
  <cols>
    <col min="1" max="5" width="22.75" style="176" customWidth="1"/>
    <col min="6" max="6" width="8.75" style="176" bestFit="1" customWidth="1"/>
    <col min="7" max="7" width="4.75" style="177" bestFit="1" customWidth="1"/>
    <col min="8" max="8" width="12.75" style="177" customWidth="1"/>
    <col min="9" max="20" width="4" style="177" customWidth="1"/>
    <col min="21" max="21" width="10.875" style="176" customWidth="1"/>
    <col min="22" max="16384" width="9" style="176"/>
  </cols>
  <sheetData>
    <row r="1" spans="1:26" ht="20.25">
      <c r="A1" s="1840" t="s">
        <v>1053</v>
      </c>
      <c r="B1" s="1840"/>
      <c r="C1" s="1840"/>
      <c r="D1" s="1840"/>
      <c r="E1" s="1840"/>
      <c r="F1" s="1840"/>
      <c r="G1" s="1840"/>
      <c r="H1" s="1840"/>
      <c r="I1" s="1840"/>
      <c r="J1" s="1840"/>
      <c r="K1" s="1840"/>
      <c r="L1" s="1840"/>
      <c r="M1" s="1840"/>
      <c r="N1" s="1840"/>
      <c r="O1" s="1840"/>
      <c r="P1" s="1840"/>
      <c r="Q1" s="1840"/>
      <c r="R1" s="1840"/>
      <c r="S1" s="1840"/>
      <c r="T1" s="1840"/>
      <c r="U1" s="1840"/>
    </row>
    <row r="2" spans="1:26" ht="20.25">
      <c r="A2" s="1841" t="s">
        <v>1054</v>
      </c>
      <c r="B2" s="1841"/>
      <c r="C2" s="1841"/>
      <c r="D2" s="1841"/>
      <c r="E2" s="237"/>
      <c r="F2" s="1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1"/>
    </row>
    <row r="3" spans="1:26" ht="20.25">
      <c r="A3" s="1842" t="s">
        <v>1055</v>
      </c>
      <c r="B3" s="1842"/>
      <c r="C3" s="1842"/>
      <c r="D3" s="1842"/>
      <c r="E3" s="1842"/>
      <c r="F3" s="1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1"/>
    </row>
    <row r="4" spans="1:26" ht="18.75">
      <c r="A4" s="1497" t="s">
        <v>44</v>
      </c>
      <c r="B4" s="1496" t="s">
        <v>45</v>
      </c>
      <c r="C4" s="1496" t="s">
        <v>46</v>
      </c>
      <c r="D4" s="1496" t="s">
        <v>47</v>
      </c>
      <c r="E4" s="1496" t="s">
        <v>48</v>
      </c>
      <c r="F4" s="1496"/>
      <c r="G4" s="1496"/>
      <c r="H4" s="1839" t="s">
        <v>1424</v>
      </c>
      <c r="I4" s="1839" t="s">
        <v>50</v>
      </c>
      <c r="J4" s="1839"/>
      <c r="K4" s="1839"/>
      <c r="L4" s="1839"/>
      <c r="M4" s="1839"/>
      <c r="N4" s="1839"/>
      <c r="O4" s="1839"/>
      <c r="P4" s="1839"/>
      <c r="Q4" s="1839"/>
      <c r="R4" s="1839"/>
      <c r="S4" s="1839"/>
      <c r="T4" s="1839"/>
      <c r="U4" s="1497" t="s">
        <v>153</v>
      </c>
    </row>
    <row r="5" spans="1:26">
      <c r="A5" s="1498"/>
      <c r="B5" s="1496"/>
      <c r="C5" s="1496"/>
      <c r="D5" s="1496"/>
      <c r="E5" s="1497" t="s">
        <v>52</v>
      </c>
      <c r="F5" s="1843" t="s">
        <v>53</v>
      </c>
      <c r="G5" s="1839" t="s">
        <v>54</v>
      </c>
      <c r="H5" s="1839"/>
      <c r="I5" s="1839" t="s">
        <v>55</v>
      </c>
      <c r="J5" s="1839" t="s">
        <v>56</v>
      </c>
      <c r="K5" s="1839" t="s">
        <v>57</v>
      </c>
      <c r="L5" s="1839" t="s">
        <v>58</v>
      </c>
      <c r="M5" s="1839" t="s">
        <v>59</v>
      </c>
      <c r="N5" s="1839" t="s">
        <v>60</v>
      </c>
      <c r="O5" s="1839" t="s">
        <v>61</v>
      </c>
      <c r="P5" s="1839" t="s">
        <v>62</v>
      </c>
      <c r="Q5" s="1839" t="s">
        <v>63</v>
      </c>
      <c r="R5" s="1839" t="s">
        <v>64</v>
      </c>
      <c r="S5" s="1839" t="s">
        <v>65</v>
      </c>
      <c r="T5" s="1839" t="s">
        <v>66</v>
      </c>
      <c r="U5" s="1498"/>
    </row>
    <row r="6" spans="1:26" ht="34.5" customHeight="1">
      <c r="A6" s="1499"/>
      <c r="B6" s="1496"/>
      <c r="C6" s="1496"/>
      <c r="D6" s="1496"/>
      <c r="E6" s="1499"/>
      <c r="F6" s="1844"/>
      <c r="G6" s="1839"/>
      <c r="H6" s="1839"/>
      <c r="I6" s="1839"/>
      <c r="J6" s="1839"/>
      <c r="K6" s="1839"/>
      <c r="L6" s="1839"/>
      <c r="M6" s="1839"/>
      <c r="N6" s="1839"/>
      <c r="O6" s="1839"/>
      <c r="P6" s="1839"/>
      <c r="Q6" s="1839"/>
      <c r="R6" s="1839"/>
      <c r="S6" s="1839"/>
      <c r="T6" s="1839"/>
      <c r="U6" s="1499"/>
    </row>
    <row r="7" spans="1:26" s="181" customFormat="1" ht="56.25">
      <c r="A7" s="1845" t="s">
        <v>1056</v>
      </c>
      <c r="B7" s="1845" t="s">
        <v>1057</v>
      </c>
      <c r="C7" s="1845" t="s">
        <v>1058</v>
      </c>
      <c r="D7" s="1845" t="s">
        <v>1059</v>
      </c>
      <c r="E7" s="178" t="s">
        <v>1060</v>
      </c>
      <c r="F7" s="179">
        <f>3*50*20</f>
        <v>3000</v>
      </c>
      <c r="G7" s="1849" t="s">
        <v>77</v>
      </c>
      <c r="H7" s="1852" t="s">
        <v>1061</v>
      </c>
      <c r="I7" s="1855"/>
      <c r="J7" s="1858">
        <v>2000</v>
      </c>
      <c r="K7" s="1861"/>
      <c r="L7" s="1861"/>
      <c r="M7" s="1858">
        <v>2000</v>
      </c>
      <c r="N7" s="1861"/>
      <c r="O7" s="1861"/>
      <c r="P7" s="1858">
        <v>2000</v>
      </c>
      <c r="Q7" s="1855"/>
      <c r="R7" s="1855"/>
      <c r="S7" s="1855"/>
      <c r="T7" s="1855"/>
      <c r="U7" s="1875" t="s">
        <v>1062</v>
      </c>
      <c r="V7" s="180"/>
      <c r="W7" s="180"/>
      <c r="X7" s="180"/>
      <c r="Y7" s="180"/>
      <c r="Z7" s="180"/>
    </row>
    <row r="8" spans="1:26" s="181" customFormat="1" ht="18.75">
      <c r="A8" s="1846"/>
      <c r="B8" s="1846"/>
      <c r="C8" s="1846"/>
      <c r="D8" s="1846"/>
      <c r="E8" s="178" t="s">
        <v>1063</v>
      </c>
      <c r="F8" s="179">
        <v>1500</v>
      </c>
      <c r="G8" s="1850"/>
      <c r="H8" s="1853"/>
      <c r="I8" s="1856"/>
      <c r="J8" s="1859"/>
      <c r="K8" s="1862"/>
      <c r="L8" s="1862"/>
      <c r="M8" s="1859"/>
      <c r="N8" s="1862"/>
      <c r="O8" s="1862"/>
      <c r="P8" s="1859"/>
      <c r="Q8" s="1856"/>
      <c r="R8" s="1856"/>
      <c r="S8" s="1856"/>
      <c r="T8" s="1856"/>
      <c r="U8" s="1876"/>
      <c r="V8" s="180"/>
      <c r="W8" s="180"/>
      <c r="X8" s="180"/>
      <c r="Y8" s="180"/>
      <c r="Z8" s="180"/>
    </row>
    <row r="9" spans="1:26" s="181" customFormat="1" ht="18.75">
      <c r="A9" s="1846"/>
      <c r="B9" s="1846"/>
      <c r="C9" s="1846"/>
      <c r="D9" s="1846"/>
      <c r="E9" s="178" t="s">
        <v>1064</v>
      </c>
      <c r="F9" s="179">
        <f>3*500</f>
        <v>1500</v>
      </c>
      <c r="G9" s="1851"/>
      <c r="H9" s="1854"/>
      <c r="I9" s="1857"/>
      <c r="J9" s="1860"/>
      <c r="K9" s="1863"/>
      <c r="L9" s="1863"/>
      <c r="M9" s="1860"/>
      <c r="N9" s="1863"/>
      <c r="O9" s="1863"/>
      <c r="P9" s="1860"/>
      <c r="Q9" s="1857"/>
      <c r="R9" s="1857"/>
      <c r="S9" s="1857"/>
      <c r="T9" s="1857"/>
      <c r="U9" s="1876"/>
      <c r="V9" s="180"/>
      <c r="W9" s="180"/>
      <c r="X9" s="180"/>
      <c r="Y9" s="180"/>
      <c r="Z9" s="180"/>
    </row>
    <row r="10" spans="1:26" s="181" customFormat="1" ht="18.75">
      <c r="A10" s="1847"/>
      <c r="B10" s="1848"/>
      <c r="C10" s="1848"/>
      <c r="D10" s="1848"/>
      <c r="E10" s="182" t="s">
        <v>1065</v>
      </c>
      <c r="F10" s="183">
        <f>SUM(F7:F9)</f>
        <v>6000</v>
      </c>
      <c r="G10" s="184"/>
      <c r="H10" s="184"/>
      <c r="I10" s="185"/>
      <c r="J10" s="186"/>
      <c r="K10" s="187"/>
      <c r="L10" s="188"/>
      <c r="M10" s="186"/>
      <c r="N10" s="188"/>
      <c r="O10" s="188"/>
      <c r="P10" s="186"/>
      <c r="Q10" s="188"/>
      <c r="R10" s="188"/>
      <c r="S10" s="188"/>
      <c r="T10" s="188"/>
      <c r="U10" s="1877"/>
      <c r="V10" s="189"/>
      <c r="W10" s="189"/>
      <c r="X10" s="189"/>
      <c r="Y10" s="189"/>
      <c r="Z10" s="189"/>
    </row>
    <row r="11" spans="1:26" s="29" customFormat="1" ht="37.5">
      <c r="A11" s="1437" t="s">
        <v>1066</v>
      </c>
      <c r="B11" s="1440" t="s">
        <v>1067</v>
      </c>
      <c r="C11" s="1437" t="s">
        <v>1068</v>
      </c>
      <c r="D11" s="1440" t="s">
        <v>1069</v>
      </c>
      <c r="E11" s="202" t="s">
        <v>1070</v>
      </c>
      <c r="F11" s="203">
        <v>5000</v>
      </c>
      <c r="G11" s="1864" t="s">
        <v>77</v>
      </c>
      <c r="H11" s="1867">
        <v>22658</v>
      </c>
      <c r="I11" s="1869"/>
      <c r="J11" s="1869"/>
      <c r="K11" s="1869"/>
      <c r="L11" s="1872">
        <f>F15</f>
        <v>9700</v>
      </c>
      <c r="M11" s="1869"/>
      <c r="N11" s="1869"/>
      <c r="O11" s="1869"/>
      <c r="P11" s="1869"/>
      <c r="Q11" s="1869"/>
      <c r="R11" s="1869"/>
      <c r="S11" s="1869"/>
      <c r="T11" s="1869"/>
      <c r="U11" s="1458" t="s">
        <v>1071</v>
      </c>
    </row>
    <row r="12" spans="1:26" s="29" customFormat="1" ht="37.5">
      <c r="A12" s="1438"/>
      <c r="B12" s="1440"/>
      <c r="C12" s="1438"/>
      <c r="D12" s="1440"/>
      <c r="E12" s="210" t="s">
        <v>1072</v>
      </c>
      <c r="F12" s="203">
        <v>2000</v>
      </c>
      <c r="G12" s="1865"/>
      <c r="H12" s="1868"/>
      <c r="I12" s="1870"/>
      <c r="J12" s="1870"/>
      <c r="K12" s="1870"/>
      <c r="L12" s="1873"/>
      <c r="M12" s="1870"/>
      <c r="N12" s="1870"/>
      <c r="O12" s="1870"/>
      <c r="P12" s="1870"/>
      <c r="Q12" s="1870"/>
      <c r="R12" s="1870"/>
      <c r="S12" s="1870"/>
      <c r="T12" s="1870"/>
      <c r="U12" s="1459"/>
    </row>
    <row r="13" spans="1:26" s="29" customFormat="1" ht="56.25">
      <c r="A13" s="1438"/>
      <c r="B13" s="1440"/>
      <c r="C13" s="1438"/>
      <c r="D13" s="1440"/>
      <c r="E13" s="210" t="s">
        <v>1073</v>
      </c>
      <c r="F13" s="203">
        <v>2100</v>
      </c>
      <c r="G13" s="1865"/>
      <c r="H13" s="1868"/>
      <c r="I13" s="1870"/>
      <c r="J13" s="1870"/>
      <c r="K13" s="1870"/>
      <c r="L13" s="1873"/>
      <c r="M13" s="1870"/>
      <c r="N13" s="1870"/>
      <c r="O13" s="1870"/>
      <c r="P13" s="1870"/>
      <c r="Q13" s="1870"/>
      <c r="R13" s="1870"/>
      <c r="S13" s="1870"/>
      <c r="T13" s="1870"/>
      <c r="U13" s="1459"/>
    </row>
    <row r="14" spans="1:26" s="29" customFormat="1" ht="18.75">
      <c r="A14" s="1438"/>
      <c r="B14" s="1440"/>
      <c r="C14" s="1438"/>
      <c r="D14" s="1440"/>
      <c r="E14" s="210" t="s">
        <v>1074</v>
      </c>
      <c r="F14" s="203">
        <v>600</v>
      </c>
      <c r="G14" s="1866"/>
      <c r="H14" s="1868"/>
      <c r="I14" s="1870"/>
      <c r="J14" s="1870"/>
      <c r="K14" s="1871"/>
      <c r="L14" s="1874"/>
      <c r="M14" s="1871"/>
      <c r="N14" s="1871"/>
      <c r="O14" s="1871"/>
      <c r="P14" s="1871"/>
      <c r="Q14" s="1871"/>
      <c r="R14" s="1871"/>
      <c r="S14" s="1871"/>
      <c r="T14" s="1871"/>
      <c r="U14" s="1459"/>
    </row>
    <row r="15" spans="1:26" s="190" customFormat="1" ht="18.75">
      <c r="A15" s="1439"/>
      <c r="B15" s="1440"/>
      <c r="C15" s="1439"/>
      <c r="D15" s="1440"/>
      <c r="E15" s="475" t="s">
        <v>1065</v>
      </c>
      <c r="F15" s="476">
        <f>SUM(F11:F14)</f>
        <v>9700</v>
      </c>
      <c r="G15" s="477"/>
      <c r="H15" s="477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281"/>
    </row>
    <row r="16" spans="1:26" s="29" customFormat="1" ht="37.5">
      <c r="A16" s="1437" t="s">
        <v>1075</v>
      </c>
      <c r="B16" s="1440" t="s">
        <v>1076</v>
      </c>
      <c r="C16" s="1437" t="s">
        <v>1077</v>
      </c>
      <c r="D16" s="1440" t="s">
        <v>1078</v>
      </c>
      <c r="E16" s="202" t="s">
        <v>1079</v>
      </c>
      <c r="F16" s="203">
        <v>3000</v>
      </c>
      <c r="G16" s="1864" t="s">
        <v>77</v>
      </c>
      <c r="H16" s="1867" t="s">
        <v>1080</v>
      </c>
      <c r="I16" s="1869"/>
      <c r="J16" s="1869"/>
      <c r="K16" s="1869"/>
      <c r="L16" s="1869"/>
      <c r="M16" s="1869">
        <f>F20</f>
        <v>5000</v>
      </c>
      <c r="N16" s="1869"/>
      <c r="O16" s="1869"/>
      <c r="P16" s="1869"/>
      <c r="Q16" s="1869"/>
      <c r="R16" s="1869"/>
      <c r="S16" s="1869"/>
      <c r="T16" s="1869"/>
      <c r="U16" s="1458" t="s">
        <v>1071</v>
      </c>
    </row>
    <row r="17" spans="1:26" s="29" customFormat="1" ht="18.75">
      <c r="A17" s="1438"/>
      <c r="B17" s="1440"/>
      <c r="C17" s="1438"/>
      <c r="D17" s="1440"/>
      <c r="E17" s="210" t="s">
        <v>1081</v>
      </c>
      <c r="F17" s="203">
        <v>2000</v>
      </c>
      <c r="G17" s="1865"/>
      <c r="H17" s="1868"/>
      <c r="I17" s="1870"/>
      <c r="J17" s="1870"/>
      <c r="K17" s="1870"/>
      <c r="L17" s="1870"/>
      <c r="M17" s="1870"/>
      <c r="N17" s="1870"/>
      <c r="O17" s="1870"/>
      <c r="P17" s="1870"/>
      <c r="Q17" s="1870"/>
      <c r="R17" s="1870"/>
      <c r="S17" s="1870"/>
      <c r="T17" s="1870"/>
      <c r="U17" s="1459"/>
    </row>
    <row r="18" spans="1:26" s="29" customFormat="1" ht="18.75">
      <c r="A18" s="1438"/>
      <c r="B18" s="1440"/>
      <c r="C18" s="1438"/>
      <c r="D18" s="1440"/>
      <c r="E18" s="210"/>
      <c r="F18" s="203"/>
      <c r="G18" s="1865"/>
      <c r="H18" s="1868"/>
      <c r="I18" s="1870"/>
      <c r="J18" s="1870"/>
      <c r="K18" s="1870"/>
      <c r="L18" s="1870"/>
      <c r="M18" s="1870"/>
      <c r="N18" s="1870"/>
      <c r="O18" s="1870"/>
      <c r="P18" s="1870"/>
      <c r="Q18" s="1870"/>
      <c r="R18" s="1870"/>
      <c r="S18" s="1870"/>
      <c r="T18" s="1870"/>
      <c r="U18" s="1459"/>
    </row>
    <row r="19" spans="1:26" s="29" customFormat="1" ht="18.75">
      <c r="A19" s="1438"/>
      <c r="B19" s="1440"/>
      <c r="C19" s="1438"/>
      <c r="D19" s="1440"/>
      <c r="E19" s="210"/>
      <c r="F19" s="203"/>
      <c r="G19" s="1866"/>
      <c r="H19" s="1868"/>
      <c r="I19" s="1870"/>
      <c r="J19" s="1870"/>
      <c r="K19" s="1871"/>
      <c r="L19" s="1871"/>
      <c r="M19" s="1871"/>
      <c r="N19" s="1871"/>
      <c r="O19" s="1871"/>
      <c r="P19" s="1871"/>
      <c r="Q19" s="1871"/>
      <c r="R19" s="1871"/>
      <c r="S19" s="1871"/>
      <c r="T19" s="1871"/>
      <c r="U19" s="1459"/>
    </row>
    <row r="20" spans="1:26" s="190" customFormat="1" ht="18.75">
      <c r="A20" s="1439"/>
      <c r="B20" s="1440"/>
      <c r="C20" s="1439"/>
      <c r="D20" s="1440"/>
      <c r="E20" s="475" t="s">
        <v>1065</v>
      </c>
      <c r="F20" s="476">
        <f>SUM(F16:F19)</f>
        <v>5000</v>
      </c>
      <c r="G20" s="477"/>
      <c r="H20" s="477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281"/>
    </row>
    <row r="21" spans="1:26" s="29" customFormat="1" ht="37.5">
      <c r="A21" s="1437" t="s">
        <v>1082</v>
      </c>
      <c r="B21" s="1440" t="s">
        <v>1083</v>
      </c>
      <c r="C21" s="1437" t="s">
        <v>1084</v>
      </c>
      <c r="D21" s="1440" t="s">
        <v>1085</v>
      </c>
      <c r="E21" s="202" t="s">
        <v>1086</v>
      </c>
      <c r="F21" s="203">
        <v>6400</v>
      </c>
      <c r="G21" s="1864" t="s">
        <v>77</v>
      </c>
      <c r="H21" s="1878" t="s">
        <v>1087</v>
      </c>
      <c r="I21" s="1869"/>
      <c r="J21" s="1869"/>
      <c r="K21" s="1869">
        <v>6800</v>
      </c>
      <c r="L21" s="1869"/>
      <c r="M21" s="1869"/>
      <c r="N21" s="1869"/>
      <c r="O21" s="1869"/>
      <c r="P21" s="1869">
        <v>6800</v>
      </c>
      <c r="Q21" s="1869"/>
      <c r="R21" s="1869"/>
      <c r="S21" s="1869"/>
      <c r="T21" s="1869"/>
      <c r="U21" s="1458" t="s">
        <v>1088</v>
      </c>
    </row>
    <row r="22" spans="1:26" s="29" customFormat="1" ht="37.5">
      <c r="A22" s="1438"/>
      <c r="B22" s="1440"/>
      <c r="C22" s="1438"/>
      <c r="D22" s="1440"/>
      <c r="E22" s="210" t="s">
        <v>1089</v>
      </c>
      <c r="F22" s="203">
        <v>3200</v>
      </c>
      <c r="G22" s="1865"/>
      <c r="H22" s="1879"/>
      <c r="I22" s="1870"/>
      <c r="J22" s="1870"/>
      <c r="K22" s="1870"/>
      <c r="L22" s="1870"/>
      <c r="M22" s="1870"/>
      <c r="N22" s="1870"/>
      <c r="O22" s="1870"/>
      <c r="P22" s="1870"/>
      <c r="Q22" s="1870"/>
      <c r="R22" s="1870"/>
      <c r="S22" s="1870"/>
      <c r="T22" s="1870"/>
      <c r="U22" s="1459"/>
    </row>
    <row r="23" spans="1:26" s="29" customFormat="1" ht="18.75">
      <c r="A23" s="1438"/>
      <c r="B23" s="1440"/>
      <c r="C23" s="1438"/>
      <c r="D23" s="1440"/>
      <c r="E23" s="210" t="s">
        <v>1090</v>
      </c>
      <c r="F23" s="203">
        <v>2000</v>
      </c>
      <c r="G23" s="1865"/>
      <c r="H23" s="1879"/>
      <c r="I23" s="1870"/>
      <c r="J23" s="1870"/>
      <c r="K23" s="1870"/>
      <c r="L23" s="1870"/>
      <c r="M23" s="1870"/>
      <c r="N23" s="1870"/>
      <c r="O23" s="1870"/>
      <c r="P23" s="1870"/>
      <c r="Q23" s="1870"/>
      <c r="R23" s="1870"/>
      <c r="S23" s="1870"/>
      <c r="T23" s="1870"/>
      <c r="U23" s="1459"/>
    </row>
    <row r="24" spans="1:26" s="29" customFormat="1" ht="18.75">
      <c r="A24" s="1438"/>
      <c r="B24" s="1440"/>
      <c r="C24" s="1438"/>
      <c r="D24" s="1440"/>
      <c r="E24" s="210" t="s">
        <v>1081</v>
      </c>
      <c r="F24" s="203">
        <v>2000</v>
      </c>
      <c r="G24" s="1866"/>
      <c r="H24" s="1879"/>
      <c r="I24" s="1870"/>
      <c r="J24" s="1870"/>
      <c r="K24" s="1871"/>
      <c r="L24" s="1871"/>
      <c r="M24" s="1871"/>
      <c r="N24" s="1871"/>
      <c r="O24" s="1871"/>
      <c r="P24" s="1871"/>
      <c r="Q24" s="1871"/>
      <c r="R24" s="1871"/>
      <c r="S24" s="1871"/>
      <c r="T24" s="1871"/>
      <c r="U24" s="1459"/>
    </row>
    <row r="25" spans="1:26" s="29" customFormat="1" ht="18.75">
      <c r="A25" s="1439"/>
      <c r="B25" s="1440"/>
      <c r="C25" s="1439"/>
      <c r="D25" s="1440"/>
      <c r="E25" s="475" t="s">
        <v>1065</v>
      </c>
      <c r="F25" s="476">
        <f>SUM(F21:F24)</f>
        <v>13600</v>
      </c>
      <c r="G25" s="477"/>
      <c r="H25" s="477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281"/>
    </row>
    <row r="26" spans="1:26" s="29" customFormat="1" ht="57.75">
      <c r="A26" s="1882" t="s">
        <v>1091</v>
      </c>
      <c r="B26" s="1883"/>
      <c r="C26" s="1883"/>
      <c r="D26" s="1884"/>
      <c r="E26" s="479" t="s">
        <v>1092</v>
      </c>
      <c r="F26" s="480">
        <f>F10+F15+F20+F25</f>
        <v>34300</v>
      </c>
      <c r="G26" s="481"/>
      <c r="H26" s="481"/>
      <c r="I26" s="478">
        <f>SUM(I16:I20)</f>
        <v>0</v>
      </c>
      <c r="J26" s="478">
        <f>J7+J11+J16+J21</f>
        <v>2000</v>
      </c>
      <c r="K26" s="478">
        <f t="shared" ref="K26:T26" si="0">K7+K11+K16+K21</f>
        <v>6800</v>
      </c>
      <c r="L26" s="478">
        <f t="shared" si="0"/>
        <v>9700</v>
      </c>
      <c r="M26" s="478">
        <f t="shared" si="0"/>
        <v>7000</v>
      </c>
      <c r="N26" s="478">
        <f t="shared" si="0"/>
        <v>0</v>
      </c>
      <c r="O26" s="478">
        <f t="shared" si="0"/>
        <v>0</v>
      </c>
      <c r="P26" s="478">
        <f t="shared" si="0"/>
        <v>8800</v>
      </c>
      <c r="Q26" s="478">
        <f t="shared" si="0"/>
        <v>0</v>
      </c>
      <c r="R26" s="478">
        <f t="shared" si="0"/>
        <v>0</v>
      </c>
      <c r="S26" s="478">
        <f t="shared" si="0"/>
        <v>0</v>
      </c>
      <c r="T26" s="478">
        <f t="shared" si="0"/>
        <v>0</v>
      </c>
      <c r="U26" s="292"/>
    </row>
    <row r="27" spans="1:26" ht="18.75">
      <c r="A27" s="1885" t="s">
        <v>1093</v>
      </c>
      <c r="B27" s="1885"/>
      <c r="C27" s="1885"/>
      <c r="D27" s="1885"/>
      <c r="E27" s="1885"/>
      <c r="F27" s="29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29"/>
    </row>
    <row r="28" spans="1:26" s="181" customFormat="1" ht="56.25">
      <c r="A28" s="1887" t="s">
        <v>1094</v>
      </c>
      <c r="B28" s="1890" t="s">
        <v>1095</v>
      </c>
      <c r="C28" s="1887" t="s">
        <v>1096</v>
      </c>
      <c r="D28" s="1890" t="s">
        <v>1097</v>
      </c>
      <c r="E28" s="178" t="s">
        <v>1098</v>
      </c>
      <c r="F28" s="179">
        <v>8000</v>
      </c>
      <c r="G28" s="1849" t="s">
        <v>1099</v>
      </c>
      <c r="H28" s="1892">
        <v>22634</v>
      </c>
      <c r="I28" s="1855"/>
      <c r="J28" s="1861"/>
      <c r="K28" s="1858">
        <v>8000</v>
      </c>
      <c r="L28" s="1861"/>
      <c r="M28" s="1861"/>
      <c r="N28" s="1861"/>
      <c r="O28" s="1861"/>
      <c r="P28" s="1861"/>
      <c r="Q28" s="1861"/>
      <c r="R28" s="1861"/>
      <c r="S28" s="1861"/>
      <c r="T28" s="1861"/>
      <c r="U28" s="1880" t="s">
        <v>1062</v>
      </c>
      <c r="V28" s="180"/>
      <c r="W28" s="180"/>
      <c r="X28" s="180"/>
      <c r="Y28" s="180"/>
      <c r="Z28" s="180"/>
    </row>
    <row r="29" spans="1:26" s="181" customFormat="1" ht="18.75">
      <c r="A29" s="1888"/>
      <c r="B29" s="1846"/>
      <c r="C29" s="1888"/>
      <c r="D29" s="1846"/>
      <c r="E29" s="178"/>
      <c r="F29" s="179"/>
      <c r="G29" s="1851"/>
      <c r="H29" s="1893"/>
      <c r="I29" s="1857"/>
      <c r="J29" s="1863"/>
      <c r="K29" s="1860"/>
      <c r="L29" s="1863"/>
      <c r="M29" s="1863"/>
      <c r="N29" s="1863"/>
      <c r="O29" s="1863"/>
      <c r="P29" s="1863"/>
      <c r="Q29" s="1863"/>
      <c r="R29" s="1863"/>
      <c r="S29" s="1863"/>
      <c r="T29" s="1863"/>
      <c r="U29" s="1876"/>
      <c r="V29" s="180"/>
      <c r="W29" s="180"/>
      <c r="X29" s="180"/>
      <c r="Y29" s="180"/>
      <c r="Z29" s="180"/>
    </row>
    <row r="30" spans="1:26" s="181" customFormat="1" ht="18.75">
      <c r="A30" s="1889"/>
      <c r="B30" s="1891"/>
      <c r="C30" s="1889"/>
      <c r="D30" s="1891"/>
      <c r="E30" s="182" t="s">
        <v>1065</v>
      </c>
      <c r="F30" s="183">
        <f>SUM(F28:F29)</f>
        <v>8000</v>
      </c>
      <c r="G30" s="184"/>
      <c r="H30" s="184"/>
      <c r="I30" s="191"/>
      <c r="J30" s="188"/>
      <c r="K30" s="186"/>
      <c r="L30" s="192"/>
      <c r="M30" s="192"/>
      <c r="N30" s="188"/>
      <c r="O30" s="188"/>
      <c r="P30" s="188"/>
      <c r="Q30" s="188"/>
      <c r="R30" s="188"/>
      <c r="S30" s="188"/>
      <c r="T30" s="188"/>
      <c r="U30" s="1881"/>
      <c r="V30" s="189"/>
      <c r="W30" s="189"/>
      <c r="X30" s="189"/>
      <c r="Y30" s="189"/>
      <c r="Z30" s="189"/>
    </row>
    <row r="31" spans="1:26" s="29" customFormat="1" ht="57.75">
      <c r="A31" s="1882" t="s">
        <v>1091</v>
      </c>
      <c r="B31" s="1883"/>
      <c r="C31" s="1883"/>
      <c r="D31" s="1884"/>
      <c r="E31" s="479" t="s">
        <v>1092</v>
      </c>
      <c r="F31" s="480">
        <f>F30</f>
        <v>8000</v>
      </c>
      <c r="G31" s="481"/>
      <c r="H31" s="481"/>
      <c r="I31" s="478"/>
      <c r="J31" s="478"/>
      <c r="K31" s="478">
        <f>SUM(K28:K30)</f>
        <v>8000</v>
      </c>
      <c r="L31" s="478"/>
      <c r="M31" s="478"/>
      <c r="N31" s="478"/>
      <c r="O31" s="478"/>
      <c r="P31" s="478"/>
      <c r="Q31" s="478"/>
      <c r="R31" s="478"/>
      <c r="S31" s="478"/>
      <c r="T31" s="478"/>
      <c r="U31" s="292"/>
    </row>
    <row r="34" spans="1:5" ht="20.25">
      <c r="A34" s="193" t="s">
        <v>140</v>
      </c>
      <c r="B34" s="1886" t="s">
        <v>141</v>
      </c>
      <c r="C34" s="1886"/>
      <c r="D34" s="1886"/>
      <c r="E34" s="1886"/>
    </row>
  </sheetData>
  <mergeCells count="125"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R28:R29"/>
    <mergeCell ref="S28:S29"/>
    <mergeCell ref="T28:T29"/>
    <mergeCell ref="J28:J29"/>
    <mergeCell ref="K28:K29"/>
    <mergeCell ref="R21:R24"/>
    <mergeCell ref="S21:S24"/>
    <mergeCell ref="U28:U30"/>
    <mergeCell ref="A31:D31"/>
    <mergeCell ref="T21:T24"/>
    <mergeCell ref="U21:U24"/>
    <mergeCell ref="J21:J24"/>
    <mergeCell ref="K21:K24"/>
    <mergeCell ref="P21:P24"/>
    <mergeCell ref="Q21:Q24"/>
    <mergeCell ref="A26:D26"/>
    <mergeCell ref="A27:E27"/>
    <mergeCell ref="L21:L24"/>
    <mergeCell ref="M21:M24"/>
    <mergeCell ref="N21:N24"/>
    <mergeCell ref="O21:O24"/>
    <mergeCell ref="A21:A25"/>
    <mergeCell ref="B21:B25"/>
    <mergeCell ref="C21:C25"/>
    <mergeCell ref="D21:D25"/>
    <mergeCell ref="G21:G24"/>
    <mergeCell ref="H21:H24"/>
    <mergeCell ref="I21:I24"/>
    <mergeCell ref="A16:A20"/>
    <mergeCell ref="B16:B20"/>
    <mergeCell ref="C16:C20"/>
    <mergeCell ref="D16:D20"/>
    <mergeCell ref="G16:G19"/>
    <mergeCell ref="H16:H19"/>
    <mergeCell ref="U16:U19"/>
    <mergeCell ref="O16:O19"/>
    <mergeCell ref="P16:P19"/>
    <mergeCell ref="Q16:Q19"/>
    <mergeCell ref="R16:R19"/>
    <mergeCell ref="S16:S19"/>
    <mergeCell ref="T16:T19"/>
    <mergeCell ref="I16:I19"/>
    <mergeCell ref="J16:J19"/>
    <mergeCell ref="K16:K19"/>
    <mergeCell ref="L16:L19"/>
    <mergeCell ref="M16:M19"/>
    <mergeCell ref="N16:N19"/>
    <mergeCell ref="R11:R14"/>
    <mergeCell ref="S11:S14"/>
    <mergeCell ref="T11:T14"/>
    <mergeCell ref="U11:U14"/>
    <mergeCell ref="L11:L14"/>
    <mergeCell ref="M11:M14"/>
    <mergeCell ref="N11:N14"/>
    <mergeCell ref="O11:O14"/>
    <mergeCell ref="U7:U10"/>
    <mergeCell ref="O7:O9"/>
    <mergeCell ref="P7:P9"/>
    <mergeCell ref="P11:P14"/>
    <mergeCell ref="Q7:Q9"/>
    <mergeCell ref="R7:R9"/>
    <mergeCell ref="S7:S9"/>
    <mergeCell ref="T7:T9"/>
    <mergeCell ref="L7:L9"/>
    <mergeCell ref="M7:M9"/>
    <mergeCell ref="N7:N9"/>
    <mergeCell ref="Q11:Q14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A7:A10"/>
    <mergeCell ref="C7:C10"/>
    <mergeCell ref="D7:D10"/>
    <mergeCell ref="G7:G9"/>
    <mergeCell ref="H7:H9"/>
    <mergeCell ref="O5:O6"/>
    <mergeCell ref="P5:P6"/>
    <mergeCell ref="Q5:Q6"/>
    <mergeCell ref="R5:R6"/>
    <mergeCell ref="B7:B10"/>
    <mergeCell ref="I7:I9"/>
    <mergeCell ref="J7:J9"/>
    <mergeCell ref="K7:K9"/>
    <mergeCell ref="S5:S6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A18" workbookViewId="0">
      <selection activeCell="H2" sqref="H1:U65536"/>
    </sheetView>
  </sheetViews>
  <sheetFormatPr defaultColWidth="9" defaultRowHeight="18"/>
  <cols>
    <col min="1" max="5" width="22.75" style="74" customWidth="1"/>
    <col min="6" max="6" width="5.75" style="74" bestFit="1" customWidth="1"/>
    <col min="7" max="7" width="4.75" style="74" customWidth="1"/>
    <col min="8" max="8" width="8.375" style="74" customWidth="1"/>
    <col min="9" max="9" width="3.375" style="74" customWidth="1"/>
    <col min="10" max="11" width="3.75" style="74" customWidth="1"/>
    <col min="12" max="12" width="4" style="74" customWidth="1"/>
    <col min="13" max="13" width="3.75" style="74" customWidth="1"/>
    <col min="14" max="14" width="3.375" style="74" customWidth="1"/>
    <col min="15" max="15" width="4" style="74" customWidth="1"/>
    <col min="16" max="16" width="3.75" style="74" customWidth="1"/>
    <col min="17" max="17" width="3.25" style="74" customWidth="1"/>
    <col min="18" max="18" width="4" style="74" customWidth="1"/>
    <col min="19" max="19" width="3.25" style="74" customWidth="1"/>
    <col min="20" max="20" width="3.125" style="74" customWidth="1"/>
    <col min="21" max="21" width="8.375" style="74" customWidth="1"/>
    <col min="22" max="16384" width="9" style="74"/>
  </cols>
  <sheetData>
    <row r="1" spans="1:21" ht="21.75">
      <c r="A1" s="1424" t="s">
        <v>360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</row>
    <row r="2" spans="1:21" ht="21.75">
      <c r="A2" s="394" t="s">
        <v>361</v>
      </c>
      <c r="B2" s="394"/>
      <c r="C2" s="394"/>
      <c r="D2" s="394"/>
      <c r="E2" s="346"/>
    </row>
    <row r="3" spans="1:21" ht="21.75">
      <c r="A3" s="407" t="s">
        <v>362</v>
      </c>
      <c r="B3" s="407"/>
      <c r="C3" s="407"/>
      <c r="D3" s="407"/>
      <c r="E3" s="346"/>
    </row>
    <row r="4" spans="1:21" ht="21.75">
      <c r="A4" s="1894" t="s">
        <v>44</v>
      </c>
      <c r="B4" s="1894" t="s">
        <v>45</v>
      </c>
      <c r="C4" s="1894" t="s">
        <v>46</v>
      </c>
      <c r="D4" s="1894" t="s">
        <v>47</v>
      </c>
      <c r="E4" s="1897" t="s">
        <v>48</v>
      </c>
      <c r="F4" s="1898"/>
      <c r="G4" s="1899"/>
      <c r="H4" s="1894" t="s">
        <v>49</v>
      </c>
      <c r="I4" s="1897" t="s">
        <v>50</v>
      </c>
      <c r="J4" s="1898"/>
      <c r="K4" s="1898"/>
      <c r="L4" s="1898"/>
      <c r="M4" s="1898"/>
      <c r="N4" s="1898"/>
      <c r="O4" s="1898"/>
      <c r="P4" s="1898"/>
      <c r="Q4" s="1898"/>
      <c r="R4" s="1898"/>
      <c r="S4" s="1898"/>
      <c r="T4" s="1899"/>
      <c r="U4" s="1894" t="s">
        <v>153</v>
      </c>
    </row>
    <row r="5" spans="1:21">
      <c r="A5" s="1895"/>
      <c r="B5" s="1895"/>
      <c r="C5" s="1895"/>
      <c r="D5" s="1895"/>
      <c r="E5" s="1894" t="s">
        <v>52</v>
      </c>
      <c r="F5" s="1906" t="s">
        <v>53</v>
      </c>
      <c r="G5" s="1906" t="s">
        <v>54</v>
      </c>
      <c r="H5" s="1895"/>
      <c r="I5" s="1894" t="s">
        <v>55</v>
      </c>
      <c r="J5" s="1894" t="s">
        <v>56</v>
      </c>
      <c r="K5" s="1894" t="s">
        <v>57</v>
      </c>
      <c r="L5" s="1894" t="s">
        <v>58</v>
      </c>
      <c r="M5" s="1894" t="s">
        <v>59</v>
      </c>
      <c r="N5" s="1894" t="s">
        <v>60</v>
      </c>
      <c r="O5" s="1894" t="s">
        <v>61</v>
      </c>
      <c r="P5" s="1894" t="s">
        <v>62</v>
      </c>
      <c r="Q5" s="1894" t="s">
        <v>63</v>
      </c>
      <c r="R5" s="1894" t="s">
        <v>64</v>
      </c>
      <c r="S5" s="1894" t="s">
        <v>65</v>
      </c>
      <c r="T5" s="1894" t="s">
        <v>66</v>
      </c>
      <c r="U5" s="1895"/>
    </row>
    <row r="6" spans="1:21">
      <c r="A6" s="1896"/>
      <c r="B6" s="1896"/>
      <c r="C6" s="1896"/>
      <c r="D6" s="1896"/>
      <c r="E6" s="1896"/>
      <c r="F6" s="1907"/>
      <c r="G6" s="1907"/>
      <c r="H6" s="1896"/>
      <c r="I6" s="1896"/>
      <c r="J6" s="1896"/>
      <c r="K6" s="1896"/>
      <c r="L6" s="1896"/>
      <c r="M6" s="1896"/>
      <c r="N6" s="1896"/>
      <c r="O6" s="1896"/>
      <c r="P6" s="1896"/>
      <c r="Q6" s="1896"/>
      <c r="R6" s="1896"/>
      <c r="S6" s="1896"/>
      <c r="T6" s="1896"/>
      <c r="U6" s="1896"/>
    </row>
    <row r="7" spans="1:21" s="29" customFormat="1" ht="65.25">
      <c r="A7" s="1650" t="s">
        <v>363</v>
      </c>
      <c r="B7" s="1657" t="s">
        <v>364</v>
      </c>
      <c r="C7" s="1657" t="s">
        <v>365</v>
      </c>
      <c r="D7" s="1657" t="s">
        <v>366</v>
      </c>
      <c r="E7" s="460" t="s">
        <v>367</v>
      </c>
      <c r="F7" s="461">
        <v>7200</v>
      </c>
      <c r="G7" s="1900" t="s">
        <v>77</v>
      </c>
      <c r="H7" s="1903" t="s">
        <v>368</v>
      </c>
      <c r="I7" s="1654"/>
      <c r="J7" s="1657"/>
      <c r="K7" s="1617"/>
      <c r="L7" s="1915">
        <v>15800</v>
      </c>
      <c r="M7" s="1716"/>
      <c r="N7" s="1617"/>
      <c r="O7" s="1617"/>
      <c r="P7" s="1915">
        <v>15800</v>
      </c>
      <c r="Q7" s="1617"/>
      <c r="R7" s="142"/>
      <c r="S7" s="1617"/>
      <c r="T7" s="1617"/>
      <c r="U7" s="1617" t="s">
        <v>369</v>
      </c>
    </row>
    <row r="8" spans="1:21" s="29" customFormat="1" ht="43.5">
      <c r="A8" s="1651"/>
      <c r="B8" s="1658"/>
      <c r="C8" s="1658"/>
      <c r="D8" s="1658"/>
      <c r="E8" s="460" t="s">
        <v>370</v>
      </c>
      <c r="F8" s="461">
        <v>14400</v>
      </c>
      <c r="G8" s="1901"/>
      <c r="H8" s="1904"/>
      <c r="I8" s="1655"/>
      <c r="J8" s="1658"/>
      <c r="K8" s="1618"/>
      <c r="L8" s="1916"/>
      <c r="M8" s="1918"/>
      <c r="N8" s="1618"/>
      <c r="O8" s="1618"/>
      <c r="P8" s="1916"/>
      <c r="Q8" s="1618"/>
      <c r="R8" s="142"/>
      <c r="S8" s="1618"/>
      <c r="T8" s="1618"/>
      <c r="U8" s="1618"/>
    </row>
    <row r="9" spans="1:21" s="29" customFormat="1" ht="21.75">
      <c r="A9" s="1651"/>
      <c r="B9" s="1658"/>
      <c r="C9" s="1658"/>
      <c r="D9" s="1658"/>
      <c r="E9" s="460" t="s">
        <v>371</v>
      </c>
      <c r="F9" s="461">
        <v>10000</v>
      </c>
      <c r="G9" s="1901"/>
      <c r="H9" s="1904"/>
      <c r="I9" s="1655"/>
      <c r="J9" s="1658"/>
      <c r="K9" s="1618"/>
      <c r="L9" s="1916"/>
      <c r="M9" s="1918"/>
      <c r="N9" s="1618"/>
      <c r="O9" s="1618"/>
      <c r="P9" s="1916"/>
      <c r="Q9" s="1618"/>
      <c r="R9" s="142"/>
      <c r="S9" s="1618"/>
      <c r="T9" s="1618"/>
      <c r="U9" s="1618"/>
    </row>
    <row r="10" spans="1:21" s="29" customFormat="1" ht="21.75">
      <c r="A10" s="1652"/>
      <c r="B10" s="1719"/>
      <c r="C10" s="1719"/>
      <c r="D10" s="1719"/>
      <c r="E10" s="460" t="s">
        <v>4</v>
      </c>
      <c r="F10" s="461">
        <f>SUM(F7:F9)</f>
        <v>31600</v>
      </c>
      <c r="G10" s="1902"/>
      <c r="H10" s="1905"/>
      <c r="I10" s="1656"/>
      <c r="J10" s="1719"/>
      <c r="K10" s="1718"/>
      <c r="L10" s="1917"/>
      <c r="M10" s="1717"/>
      <c r="N10" s="1718"/>
      <c r="O10" s="1718"/>
      <c r="P10" s="1917"/>
      <c r="Q10" s="1718"/>
      <c r="R10" s="142"/>
      <c r="S10" s="1718"/>
      <c r="T10" s="1718"/>
      <c r="U10" s="1718"/>
    </row>
    <row r="11" spans="1:21" s="29" customFormat="1" ht="43.5">
      <c r="A11" s="274" t="s">
        <v>372</v>
      </c>
      <c r="B11" s="1657" t="s">
        <v>373</v>
      </c>
      <c r="C11" s="1657" t="s">
        <v>365</v>
      </c>
      <c r="D11" s="1657" t="s">
        <v>374</v>
      </c>
      <c r="E11" s="1908" t="s">
        <v>375</v>
      </c>
      <c r="F11" s="1910">
        <v>1200</v>
      </c>
      <c r="G11" s="1912" t="s">
        <v>77</v>
      </c>
      <c r="H11" s="1922" t="s">
        <v>376</v>
      </c>
      <c r="I11" s="1657"/>
      <c r="J11" s="1657"/>
      <c r="K11" s="1915">
        <v>300</v>
      </c>
      <c r="L11" s="1617"/>
      <c r="M11" s="1617"/>
      <c r="N11" s="1915">
        <v>300</v>
      </c>
      <c r="O11" s="1617"/>
      <c r="P11" s="1617"/>
      <c r="Q11" s="1915">
        <v>300</v>
      </c>
      <c r="R11" s="1617"/>
      <c r="S11" s="1915">
        <v>300</v>
      </c>
      <c r="T11" s="1617"/>
      <c r="U11" s="1617" t="s">
        <v>369</v>
      </c>
    </row>
    <row r="12" spans="1:21" s="29" customFormat="1" ht="21.75">
      <c r="A12" s="273"/>
      <c r="B12" s="1658"/>
      <c r="C12" s="1658"/>
      <c r="D12" s="1658"/>
      <c r="E12" s="1909"/>
      <c r="F12" s="1911"/>
      <c r="G12" s="1913"/>
      <c r="H12" s="1923"/>
      <c r="I12" s="1658"/>
      <c r="J12" s="1658"/>
      <c r="K12" s="1916"/>
      <c r="L12" s="1618"/>
      <c r="M12" s="1618"/>
      <c r="N12" s="1916"/>
      <c r="O12" s="1618"/>
      <c r="P12" s="1618"/>
      <c r="Q12" s="1916"/>
      <c r="R12" s="1618"/>
      <c r="S12" s="1916"/>
      <c r="T12" s="1618"/>
      <c r="U12" s="1618"/>
    </row>
    <row r="13" spans="1:21" s="29" customFormat="1" ht="21.75">
      <c r="A13" s="156"/>
      <c r="B13" s="1719"/>
      <c r="C13" s="1719"/>
      <c r="D13" s="1719"/>
      <c r="E13" s="462" t="s">
        <v>4</v>
      </c>
      <c r="F13" s="463">
        <f>SUM(F11:F12)</f>
        <v>1200</v>
      </c>
      <c r="G13" s="1914"/>
      <c r="H13" s="1924"/>
      <c r="I13" s="1719"/>
      <c r="J13" s="1719"/>
      <c r="K13" s="1917"/>
      <c r="L13" s="1718"/>
      <c r="M13" s="1718"/>
      <c r="N13" s="1917"/>
      <c r="O13" s="1718"/>
      <c r="P13" s="1718"/>
      <c r="Q13" s="1917"/>
      <c r="R13" s="1718"/>
      <c r="S13" s="1917"/>
      <c r="T13" s="1718"/>
      <c r="U13" s="1718"/>
    </row>
    <row r="14" spans="1:21" s="29" customFormat="1" ht="65.25">
      <c r="A14" s="1650" t="s">
        <v>377</v>
      </c>
      <c r="B14" s="1657" t="s">
        <v>378</v>
      </c>
      <c r="C14" s="1657" t="s">
        <v>365</v>
      </c>
      <c r="D14" s="1657" t="s">
        <v>366</v>
      </c>
      <c r="E14" s="462" t="s">
        <v>379</v>
      </c>
      <c r="F14" s="461">
        <v>3600</v>
      </c>
      <c r="G14" s="1912" t="s">
        <v>77</v>
      </c>
      <c r="H14" s="1919" t="s">
        <v>380</v>
      </c>
      <c r="I14" s="1657"/>
      <c r="J14" s="1657"/>
      <c r="K14" s="1617"/>
      <c r="L14" s="1617"/>
      <c r="M14" s="464">
        <v>15800</v>
      </c>
      <c r="N14" s="1617"/>
      <c r="O14" s="1617"/>
      <c r="P14" s="1617"/>
      <c r="Q14" s="1617"/>
      <c r="R14" s="1617"/>
      <c r="S14" s="1617"/>
      <c r="T14" s="1617"/>
      <c r="U14" s="1617" t="s">
        <v>369</v>
      </c>
    </row>
    <row r="15" spans="1:21" s="29" customFormat="1" ht="43.5">
      <c r="A15" s="1651"/>
      <c r="B15" s="1658"/>
      <c r="C15" s="1658"/>
      <c r="D15" s="1658"/>
      <c r="E15" s="462" t="s">
        <v>381</v>
      </c>
      <c r="F15" s="461">
        <v>7200</v>
      </c>
      <c r="G15" s="1913"/>
      <c r="H15" s="1920"/>
      <c r="I15" s="1658"/>
      <c r="J15" s="1658"/>
      <c r="K15" s="1618"/>
      <c r="L15" s="1618"/>
      <c r="M15" s="465"/>
      <c r="N15" s="1618"/>
      <c r="O15" s="1618"/>
      <c r="P15" s="1618"/>
      <c r="Q15" s="1618"/>
      <c r="R15" s="1618"/>
      <c r="S15" s="1618"/>
      <c r="T15" s="1618"/>
      <c r="U15" s="1618"/>
    </row>
    <row r="16" spans="1:21" s="29" customFormat="1" ht="21.75">
      <c r="A16" s="1651"/>
      <c r="B16" s="1658"/>
      <c r="C16" s="1658"/>
      <c r="D16" s="1658"/>
      <c r="E16" s="462" t="s">
        <v>382</v>
      </c>
      <c r="F16" s="461">
        <v>5000</v>
      </c>
      <c r="G16" s="1913"/>
      <c r="H16" s="1920"/>
      <c r="I16" s="1658"/>
      <c r="J16" s="1658"/>
      <c r="K16" s="1618"/>
      <c r="L16" s="1618"/>
      <c r="M16" s="465"/>
      <c r="N16" s="1618"/>
      <c r="O16" s="1618"/>
      <c r="P16" s="1618"/>
      <c r="Q16" s="1618"/>
      <c r="R16" s="1618"/>
      <c r="S16" s="1618"/>
      <c r="T16" s="1618"/>
      <c r="U16" s="1618"/>
    </row>
    <row r="17" spans="1:21" s="29" customFormat="1" ht="21.75">
      <c r="A17" s="1652"/>
      <c r="B17" s="1719"/>
      <c r="C17" s="1719"/>
      <c r="D17" s="1719"/>
      <c r="E17" s="462" t="s">
        <v>4</v>
      </c>
      <c r="F17" s="461">
        <f>SUM(F14:F16)</f>
        <v>15800</v>
      </c>
      <c r="G17" s="1914"/>
      <c r="H17" s="1921"/>
      <c r="I17" s="1719"/>
      <c r="J17" s="1719"/>
      <c r="K17" s="1718"/>
      <c r="L17" s="1718"/>
      <c r="M17" s="466"/>
      <c r="N17" s="1718"/>
      <c r="O17" s="1718"/>
      <c r="P17" s="1718"/>
      <c r="Q17" s="1718"/>
      <c r="R17" s="1718"/>
      <c r="S17" s="1718"/>
      <c r="T17" s="1718"/>
      <c r="U17" s="1718"/>
    </row>
    <row r="18" spans="1:21">
      <c r="A18" s="1650" t="s">
        <v>383</v>
      </c>
      <c r="B18" s="1650" t="s">
        <v>384</v>
      </c>
      <c r="C18" s="1650" t="s">
        <v>385</v>
      </c>
      <c r="D18" s="1650" t="s">
        <v>386</v>
      </c>
      <c r="E18" s="1925" t="s">
        <v>387</v>
      </c>
      <c r="F18" s="1903">
        <v>1440</v>
      </c>
      <c r="G18" s="1657" t="s">
        <v>77</v>
      </c>
      <c r="H18" s="1657" t="s">
        <v>388</v>
      </c>
      <c r="I18" s="1617"/>
      <c r="J18" s="1617"/>
      <c r="K18" s="1617"/>
      <c r="L18" s="1617"/>
      <c r="M18" s="1617"/>
      <c r="N18" s="1617"/>
      <c r="O18" s="1617"/>
      <c r="P18" s="1617"/>
      <c r="Q18" s="1617"/>
      <c r="R18" s="1617"/>
      <c r="S18" s="1617">
        <v>1440</v>
      </c>
      <c r="T18" s="1617"/>
      <c r="U18" s="1654" t="s">
        <v>369</v>
      </c>
    </row>
    <row r="19" spans="1:21">
      <c r="A19" s="1651"/>
      <c r="B19" s="1651"/>
      <c r="C19" s="1651"/>
      <c r="D19" s="1651"/>
      <c r="E19" s="1926"/>
      <c r="F19" s="1904"/>
      <c r="G19" s="1658"/>
      <c r="H19" s="1658"/>
      <c r="I19" s="1618"/>
      <c r="J19" s="1618"/>
      <c r="K19" s="1618"/>
      <c r="L19" s="1618"/>
      <c r="M19" s="1618"/>
      <c r="N19" s="1618"/>
      <c r="O19" s="1618"/>
      <c r="P19" s="1618"/>
      <c r="Q19" s="1618"/>
      <c r="R19" s="1618"/>
      <c r="S19" s="1618"/>
      <c r="T19" s="1618"/>
      <c r="U19" s="1655"/>
    </row>
    <row r="20" spans="1:21">
      <c r="A20" s="1651"/>
      <c r="B20" s="1651"/>
      <c r="C20" s="1651"/>
      <c r="D20" s="1651"/>
      <c r="E20" s="1927"/>
      <c r="F20" s="1905"/>
      <c r="G20" s="1719"/>
      <c r="H20" s="1719"/>
      <c r="I20" s="1718"/>
      <c r="J20" s="1718"/>
      <c r="K20" s="1718"/>
      <c r="L20" s="1718"/>
      <c r="M20" s="1718"/>
      <c r="N20" s="1718"/>
      <c r="O20" s="1718"/>
      <c r="P20" s="1718"/>
      <c r="Q20" s="1718"/>
      <c r="R20" s="1718"/>
      <c r="S20" s="1718"/>
      <c r="T20" s="1718"/>
      <c r="U20" s="1656"/>
    </row>
    <row r="21" spans="1:21" ht="21.75">
      <c r="A21" s="1652"/>
      <c r="B21" s="1652"/>
      <c r="C21" s="1652"/>
      <c r="D21" s="1652"/>
      <c r="E21" s="467" t="s">
        <v>4</v>
      </c>
      <c r="F21" s="420">
        <f>SUM(F18:F20)</f>
        <v>1440</v>
      </c>
      <c r="G21" s="259"/>
      <c r="H21" s="259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259"/>
    </row>
    <row r="22" spans="1:21">
      <c r="A22" s="1693" t="s">
        <v>389</v>
      </c>
      <c r="B22" s="1650" t="s">
        <v>390</v>
      </c>
      <c r="C22" s="1650" t="s">
        <v>391</v>
      </c>
      <c r="D22" s="1650" t="s">
        <v>392</v>
      </c>
      <c r="E22" s="1925" t="s">
        <v>393</v>
      </c>
      <c r="F22" s="1903">
        <v>8640</v>
      </c>
      <c r="G22" s="1657" t="s">
        <v>77</v>
      </c>
      <c r="H22" s="1657" t="s">
        <v>394</v>
      </c>
      <c r="I22" s="1617"/>
      <c r="J22" s="1617"/>
      <c r="K22" s="1915">
        <v>4320</v>
      </c>
      <c r="L22" s="1617"/>
      <c r="M22" s="1617"/>
      <c r="N22" s="1617"/>
      <c r="O22" s="1617"/>
      <c r="P22" s="1617"/>
      <c r="Q22" s="1617"/>
      <c r="R22" s="1915">
        <v>4320</v>
      </c>
      <c r="S22" s="1617"/>
      <c r="T22" s="1617"/>
      <c r="U22" s="1654" t="s">
        <v>369</v>
      </c>
    </row>
    <row r="23" spans="1:21">
      <c r="A23" s="1694"/>
      <c r="B23" s="1651"/>
      <c r="C23" s="1651"/>
      <c r="D23" s="1651"/>
      <c r="E23" s="1926"/>
      <c r="F23" s="1904"/>
      <c r="G23" s="1658"/>
      <c r="H23" s="1658"/>
      <c r="I23" s="1618"/>
      <c r="J23" s="1618"/>
      <c r="K23" s="1916"/>
      <c r="L23" s="1618"/>
      <c r="M23" s="1618"/>
      <c r="N23" s="1618"/>
      <c r="O23" s="1618"/>
      <c r="P23" s="1618"/>
      <c r="Q23" s="1618"/>
      <c r="R23" s="1916"/>
      <c r="S23" s="1618"/>
      <c r="T23" s="1618"/>
      <c r="U23" s="1655"/>
    </row>
    <row r="24" spans="1:21">
      <c r="A24" s="1694"/>
      <c r="B24" s="1651"/>
      <c r="C24" s="1651"/>
      <c r="D24" s="1651"/>
      <c r="E24" s="1927"/>
      <c r="F24" s="1905"/>
      <c r="G24" s="1719"/>
      <c r="H24" s="1719"/>
      <c r="I24" s="1718"/>
      <c r="J24" s="1718"/>
      <c r="K24" s="1917"/>
      <c r="L24" s="1718"/>
      <c r="M24" s="1718"/>
      <c r="N24" s="1718"/>
      <c r="O24" s="1718"/>
      <c r="P24" s="1718"/>
      <c r="Q24" s="1718"/>
      <c r="R24" s="1917"/>
      <c r="S24" s="1718"/>
      <c r="T24" s="1718"/>
      <c r="U24" s="1656"/>
    </row>
    <row r="25" spans="1:21" ht="21.75">
      <c r="A25" s="1695"/>
      <c r="B25" s="1652"/>
      <c r="C25" s="1652"/>
      <c r="D25" s="1652"/>
      <c r="E25" s="419" t="s">
        <v>4</v>
      </c>
      <c r="F25" s="420">
        <f>SUM(F22:F24)</f>
        <v>8640</v>
      </c>
      <c r="G25" s="259"/>
      <c r="H25" s="259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259"/>
    </row>
    <row r="26" spans="1:21" s="29" customFormat="1" ht="52.5">
      <c r="A26" s="142"/>
      <c r="B26" s="142"/>
      <c r="C26" s="142"/>
      <c r="D26" s="142"/>
      <c r="E26" s="469" t="s">
        <v>139</v>
      </c>
      <c r="F26" s="424">
        <v>58680</v>
      </c>
      <c r="G26" s="426"/>
      <c r="H26" s="426"/>
      <c r="I26" s="468">
        <f>SUM(I7:I17)</f>
        <v>0</v>
      </c>
      <c r="J26" s="468">
        <f>SUM(J7:J17)</f>
        <v>0</v>
      </c>
      <c r="K26" s="468">
        <v>4620</v>
      </c>
      <c r="L26" s="468">
        <f t="shared" ref="L26:Q26" si="0">SUM(L7:L17)</f>
        <v>15800</v>
      </c>
      <c r="M26" s="468">
        <f t="shared" si="0"/>
        <v>15800</v>
      </c>
      <c r="N26" s="468">
        <f t="shared" si="0"/>
        <v>300</v>
      </c>
      <c r="O26" s="468">
        <f t="shared" si="0"/>
        <v>0</v>
      </c>
      <c r="P26" s="468">
        <f t="shared" si="0"/>
        <v>15800</v>
      </c>
      <c r="Q26" s="468">
        <f t="shared" si="0"/>
        <v>300</v>
      </c>
      <c r="R26" s="468">
        <v>4320</v>
      </c>
      <c r="S26" s="468">
        <v>1740</v>
      </c>
      <c r="T26" s="468">
        <f>SUM(T7:T17)</f>
        <v>0</v>
      </c>
      <c r="U26" s="426"/>
    </row>
  </sheetData>
  <mergeCells count="122">
    <mergeCell ref="U22:U24"/>
    <mergeCell ref="N22:N24"/>
    <mergeCell ref="O22:O24"/>
    <mergeCell ref="P22:P24"/>
    <mergeCell ref="Q22:Q24"/>
    <mergeCell ref="R22:R24"/>
    <mergeCell ref="S22:S24"/>
    <mergeCell ref="I22:I24"/>
    <mergeCell ref="J22:J24"/>
    <mergeCell ref="K22:K24"/>
    <mergeCell ref="L22:L24"/>
    <mergeCell ref="M22:M24"/>
    <mergeCell ref="T22:T24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H22:H24"/>
    <mergeCell ref="U14:U17"/>
    <mergeCell ref="U18:U20"/>
    <mergeCell ref="O18:O20"/>
    <mergeCell ref="P18:P20"/>
    <mergeCell ref="Q18:Q20"/>
    <mergeCell ref="R18:R20"/>
    <mergeCell ref="A14:A17"/>
    <mergeCell ref="N14:N17"/>
    <mergeCell ref="O14:O17"/>
    <mergeCell ref="P14:P17"/>
    <mergeCell ref="Q14:Q17"/>
    <mergeCell ref="A18:A21"/>
    <mergeCell ref="B18:B21"/>
    <mergeCell ref="C18:C21"/>
    <mergeCell ref="D18:D21"/>
    <mergeCell ref="E18:E20"/>
    <mergeCell ref="F18:F20"/>
    <mergeCell ref="J14:J17"/>
    <mergeCell ref="S18:S20"/>
    <mergeCell ref="T18:T20"/>
    <mergeCell ref="R14:R17"/>
    <mergeCell ref="S14:S17"/>
    <mergeCell ref="T14:T17"/>
    <mergeCell ref="R11:R13"/>
    <mergeCell ref="S11:S13"/>
    <mergeCell ref="K14:K17"/>
    <mergeCell ref="L14:L17"/>
    <mergeCell ref="B14:B17"/>
    <mergeCell ref="C14:C17"/>
    <mergeCell ref="D14:D17"/>
    <mergeCell ref="G14:G17"/>
    <mergeCell ref="H14:H17"/>
    <mergeCell ref="I14:I17"/>
    <mergeCell ref="H11:H13"/>
    <mergeCell ref="I11:I13"/>
    <mergeCell ref="J11:J13"/>
    <mergeCell ref="K11:K13"/>
    <mergeCell ref="L11:L13"/>
    <mergeCell ref="M11:M13"/>
    <mergeCell ref="U7:U10"/>
    <mergeCell ref="B11:B13"/>
    <mergeCell ref="C11:C13"/>
    <mergeCell ref="D11:D13"/>
    <mergeCell ref="E11:E12"/>
    <mergeCell ref="F11:F12"/>
    <mergeCell ref="G11:G13"/>
    <mergeCell ref="I7:I10"/>
    <mergeCell ref="J7:J10"/>
    <mergeCell ref="K7:K10"/>
    <mergeCell ref="L7:L10"/>
    <mergeCell ref="M7:M10"/>
    <mergeCell ref="N7:N10"/>
    <mergeCell ref="O7:O10"/>
    <mergeCell ref="P7:P10"/>
    <mergeCell ref="T11:T13"/>
    <mergeCell ref="Q7:Q10"/>
    <mergeCell ref="S7:S10"/>
    <mergeCell ref="T7:T10"/>
    <mergeCell ref="N11:N13"/>
    <mergeCell ref="U11:U13"/>
    <mergeCell ref="O11:O13"/>
    <mergeCell ref="P11:P13"/>
    <mergeCell ref="Q11:Q13"/>
    <mergeCell ref="A7:A10"/>
    <mergeCell ref="B7:B10"/>
    <mergeCell ref="C7:C10"/>
    <mergeCell ref="D7:D10"/>
    <mergeCell ref="G7:G10"/>
    <mergeCell ref="H7:H10"/>
    <mergeCell ref="M5:M6"/>
    <mergeCell ref="F5:F6"/>
    <mergeCell ref="G5:G6"/>
    <mergeCell ref="I5:I6"/>
    <mergeCell ref="J5:J6"/>
    <mergeCell ref="K5:K6"/>
    <mergeCell ref="L5:L6"/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A30" zoomScaleSheetLayoutView="70" workbookViewId="0">
      <selection activeCell="C34" sqref="C34:C35"/>
    </sheetView>
  </sheetViews>
  <sheetFormatPr defaultRowHeight="15"/>
  <cols>
    <col min="1" max="5" width="22.75" customWidth="1"/>
    <col min="6" max="6" width="8.25" bestFit="1" customWidth="1"/>
    <col min="7" max="7" width="4.25" customWidth="1"/>
    <col min="8" max="8" width="10.875" style="162" customWidth="1"/>
    <col min="9" max="20" width="4" style="163" customWidth="1"/>
    <col min="21" max="21" width="8.75" style="163" customWidth="1"/>
  </cols>
  <sheetData>
    <row r="1" spans="1:21" ht="24">
      <c r="A1" s="1434" t="s">
        <v>1001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</row>
    <row r="2" spans="1:21" ht="24">
      <c r="A2" s="1435" t="s">
        <v>1002</v>
      </c>
      <c r="B2" s="1435"/>
      <c r="C2" s="1435"/>
      <c r="D2" s="1435"/>
      <c r="E2" s="28"/>
    </row>
    <row r="3" spans="1:21" ht="24" customHeight="1">
      <c r="A3" s="1842" t="s">
        <v>1003</v>
      </c>
      <c r="B3" s="1842"/>
      <c r="C3" s="1842"/>
      <c r="D3" s="1842"/>
      <c r="E3" s="1842"/>
    </row>
    <row r="4" spans="1:21" ht="21.75">
      <c r="A4" s="1534" t="s">
        <v>44</v>
      </c>
      <c r="B4" s="1436" t="s">
        <v>45</v>
      </c>
      <c r="C4" s="1436" t="s">
        <v>46</v>
      </c>
      <c r="D4" s="1436" t="s">
        <v>47</v>
      </c>
      <c r="E4" s="1436" t="s">
        <v>48</v>
      </c>
      <c r="F4" s="1436"/>
      <c r="G4" s="1436"/>
      <c r="H4" s="1939" t="s">
        <v>49</v>
      </c>
      <c r="I4" s="1928" t="s">
        <v>50</v>
      </c>
      <c r="J4" s="1928"/>
      <c r="K4" s="1928"/>
      <c r="L4" s="1928"/>
      <c r="M4" s="1928"/>
      <c r="N4" s="1928"/>
      <c r="O4" s="1928"/>
      <c r="P4" s="1928"/>
      <c r="Q4" s="1928"/>
      <c r="R4" s="1928"/>
      <c r="S4" s="1928"/>
      <c r="T4" s="1928"/>
      <c r="U4" s="1940" t="s">
        <v>153</v>
      </c>
    </row>
    <row r="5" spans="1:21" ht="14.25" customHeight="1">
      <c r="A5" s="1535"/>
      <c r="B5" s="1436"/>
      <c r="C5" s="1436"/>
      <c r="D5" s="1436"/>
      <c r="E5" s="1534" t="s">
        <v>52</v>
      </c>
      <c r="F5" s="1537" t="s">
        <v>53</v>
      </c>
      <c r="G5" s="1539" t="s">
        <v>54</v>
      </c>
      <c r="H5" s="1939"/>
      <c r="I5" s="1928" t="s">
        <v>55</v>
      </c>
      <c r="J5" s="1928" t="s">
        <v>56</v>
      </c>
      <c r="K5" s="1928" t="s">
        <v>57</v>
      </c>
      <c r="L5" s="1928" t="s">
        <v>58</v>
      </c>
      <c r="M5" s="1928" t="s">
        <v>59</v>
      </c>
      <c r="N5" s="1928" t="s">
        <v>60</v>
      </c>
      <c r="O5" s="1928" t="s">
        <v>61</v>
      </c>
      <c r="P5" s="496" t="s">
        <v>62</v>
      </c>
      <c r="Q5" s="1928" t="s">
        <v>63</v>
      </c>
      <c r="R5" s="1928" t="s">
        <v>64</v>
      </c>
      <c r="S5" s="1928" t="s">
        <v>65</v>
      </c>
      <c r="T5" s="1928" t="s">
        <v>66</v>
      </c>
      <c r="U5" s="1941"/>
    </row>
    <row r="6" spans="1:21" ht="21.75" customHeight="1">
      <c r="A6" s="1536"/>
      <c r="B6" s="1436"/>
      <c r="C6" s="1436"/>
      <c r="D6" s="1436"/>
      <c r="E6" s="1536"/>
      <c r="F6" s="1538"/>
      <c r="G6" s="1539"/>
      <c r="H6" s="1939"/>
      <c r="I6" s="1928"/>
      <c r="J6" s="1928"/>
      <c r="K6" s="1928"/>
      <c r="L6" s="1928"/>
      <c r="M6" s="1928"/>
      <c r="N6" s="1928"/>
      <c r="O6" s="1928"/>
      <c r="P6" s="497"/>
      <c r="Q6" s="1928"/>
      <c r="R6" s="1928"/>
      <c r="S6" s="1928"/>
      <c r="T6" s="1928"/>
      <c r="U6" s="1942"/>
    </row>
    <row r="7" spans="1:21" ht="56.25">
      <c r="A7" s="1943" t="s">
        <v>1526</v>
      </c>
      <c r="B7" s="1943" t="s">
        <v>1004</v>
      </c>
      <c r="C7" s="1943" t="s">
        <v>1005</v>
      </c>
      <c r="D7" s="1943" t="s">
        <v>1006</v>
      </c>
      <c r="E7" s="243" t="s">
        <v>1007</v>
      </c>
      <c r="F7" s="498">
        <v>74400</v>
      </c>
      <c r="G7" s="1946" t="s">
        <v>77</v>
      </c>
      <c r="H7" s="1949" t="s">
        <v>1008</v>
      </c>
      <c r="I7" s="1933"/>
      <c r="J7" s="1933"/>
      <c r="K7" s="1933"/>
      <c r="L7" s="1936">
        <v>44110</v>
      </c>
      <c r="M7" s="1933"/>
      <c r="N7" s="1933"/>
      <c r="O7" s="1933"/>
      <c r="P7" s="1936">
        <v>41110</v>
      </c>
      <c r="Q7" s="1933"/>
      <c r="R7" s="1933"/>
      <c r="S7" s="1933"/>
      <c r="T7" s="1933"/>
      <c r="U7" s="1929" t="s">
        <v>1009</v>
      </c>
    </row>
    <row r="8" spans="1:21" ht="56.25">
      <c r="A8" s="1944"/>
      <c r="B8" s="1944"/>
      <c r="C8" s="1944"/>
      <c r="D8" s="1944"/>
      <c r="E8" s="243" t="s">
        <v>1010</v>
      </c>
      <c r="F8" s="499">
        <v>920</v>
      </c>
      <c r="G8" s="1947"/>
      <c r="H8" s="1950"/>
      <c r="I8" s="1934"/>
      <c r="J8" s="1934"/>
      <c r="K8" s="1934"/>
      <c r="L8" s="1937"/>
      <c r="M8" s="1934"/>
      <c r="N8" s="1934"/>
      <c r="O8" s="1934"/>
      <c r="P8" s="1937"/>
      <c r="Q8" s="1934"/>
      <c r="R8" s="1934"/>
      <c r="S8" s="1934"/>
      <c r="T8" s="1934"/>
      <c r="U8" s="1930"/>
    </row>
    <row r="9" spans="1:21" ht="56.25">
      <c r="A9" s="1944"/>
      <c r="B9" s="1944"/>
      <c r="C9" s="1944"/>
      <c r="D9" s="1944"/>
      <c r="E9" s="243" t="s">
        <v>1011</v>
      </c>
      <c r="F9" s="499">
        <v>6900</v>
      </c>
      <c r="G9" s="1947"/>
      <c r="H9" s="1950"/>
      <c r="I9" s="1934"/>
      <c r="J9" s="1934"/>
      <c r="K9" s="1934"/>
      <c r="L9" s="1937"/>
      <c r="M9" s="1934"/>
      <c r="N9" s="1934"/>
      <c r="O9" s="1934"/>
      <c r="P9" s="1937"/>
      <c r="Q9" s="1934"/>
      <c r="R9" s="1934"/>
      <c r="S9" s="1934"/>
      <c r="T9" s="1934"/>
      <c r="U9" s="1930"/>
    </row>
    <row r="10" spans="1:21" ht="21.75" customHeight="1">
      <c r="A10" s="1944"/>
      <c r="B10" s="1945"/>
      <c r="C10" s="1945"/>
      <c r="D10" s="1945"/>
      <c r="E10" s="500" t="s">
        <v>1012</v>
      </c>
      <c r="F10" s="501">
        <v>3000</v>
      </c>
      <c r="G10" s="1947"/>
      <c r="H10" s="1950"/>
      <c r="I10" s="1934"/>
      <c r="J10" s="1934"/>
      <c r="K10" s="1934"/>
      <c r="L10" s="1937"/>
      <c r="M10" s="1934"/>
      <c r="N10" s="1934"/>
      <c r="O10" s="1934"/>
      <c r="P10" s="1937"/>
      <c r="Q10" s="1934"/>
      <c r="R10" s="1934"/>
      <c r="S10" s="1934"/>
      <c r="T10" s="1934"/>
      <c r="U10" s="1930"/>
    </row>
    <row r="11" spans="1:21" ht="21.75" customHeight="1">
      <c r="A11" s="1945"/>
      <c r="B11" s="1932" t="s">
        <v>4</v>
      </c>
      <c r="C11" s="1932"/>
      <c r="D11" s="1932"/>
      <c r="E11" s="1932"/>
      <c r="F11" s="502">
        <f>SUM(F7:F10)</f>
        <v>85220</v>
      </c>
      <c r="G11" s="1948"/>
      <c r="H11" s="1951"/>
      <c r="I11" s="1935"/>
      <c r="J11" s="1935"/>
      <c r="K11" s="1935"/>
      <c r="L11" s="1938"/>
      <c r="M11" s="1935"/>
      <c r="N11" s="1935"/>
      <c r="O11" s="1935"/>
      <c r="P11" s="1938"/>
      <c r="Q11" s="1935"/>
      <c r="R11" s="1935"/>
      <c r="S11" s="1935"/>
      <c r="T11" s="1935"/>
      <c r="U11" s="1931"/>
    </row>
    <row r="12" spans="1:21" s="29" customFormat="1" ht="56.25">
      <c r="A12" s="1481" t="s">
        <v>1527</v>
      </c>
      <c r="B12" s="1952" t="s">
        <v>1013</v>
      </c>
      <c r="C12" s="1481" t="s">
        <v>1014</v>
      </c>
      <c r="D12" s="503" t="s">
        <v>1015</v>
      </c>
      <c r="E12" s="243" t="s">
        <v>1016</v>
      </c>
      <c r="F12" s="504">
        <v>9600</v>
      </c>
      <c r="G12" s="1504" t="s">
        <v>77</v>
      </c>
      <c r="H12" s="505" t="s">
        <v>1017</v>
      </c>
      <c r="I12" s="506"/>
      <c r="J12" s="507"/>
      <c r="K12" s="508"/>
      <c r="L12" s="1955">
        <v>10600</v>
      </c>
      <c r="M12" s="508"/>
      <c r="N12" s="508"/>
      <c r="O12" s="507"/>
      <c r="P12" s="1955">
        <v>10600</v>
      </c>
      <c r="Q12" s="1958"/>
      <c r="R12" s="506"/>
      <c r="S12" s="506"/>
      <c r="T12" s="1955"/>
      <c r="U12" s="1960" t="s">
        <v>1009</v>
      </c>
    </row>
    <row r="13" spans="1:21" s="29" customFormat="1" ht="56.25">
      <c r="A13" s="1482"/>
      <c r="B13" s="1953"/>
      <c r="C13" s="1482"/>
      <c r="D13" s="503"/>
      <c r="E13" s="243" t="s">
        <v>1018</v>
      </c>
      <c r="F13" s="504">
        <v>9600</v>
      </c>
      <c r="G13" s="1505"/>
      <c r="H13" s="509"/>
      <c r="I13" s="510"/>
      <c r="J13" s="511"/>
      <c r="K13" s="512"/>
      <c r="L13" s="1956"/>
      <c r="M13" s="512"/>
      <c r="N13" s="512"/>
      <c r="O13" s="511"/>
      <c r="P13" s="1956"/>
      <c r="Q13" s="1965"/>
      <c r="R13" s="510"/>
      <c r="S13" s="510"/>
      <c r="T13" s="1956"/>
      <c r="U13" s="1961"/>
    </row>
    <row r="14" spans="1:21" s="29" customFormat="1" ht="37.5">
      <c r="A14" s="1482"/>
      <c r="B14" s="1953"/>
      <c r="C14" s="242"/>
      <c r="D14" s="503"/>
      <c r="E14" s="513" t="s">
        <v>1019</v>
      </c>
      <c r="F14" s="514">
        <v>2000</v>
      </c>
      <c r="G14" s="1505"/>
      <c r="H14" s="515"/>
      <c r="I14" s="510"/>
      <c r="J14" s="511"/>
      <c r="K14" s="512"/>
      <c r="L14" s="1956"/>
      <c r="M14" s="512"/>
      <c r="N14" s="512"/>
      <c r="O14" s="511"/>
      <c r="P14" s="1956"/>
      <c r="Q14" s="1965"/>
      <c r="R14" s="510"/>
      <c r="S14" s="510"/>
      <c r="T14" s="1956"/>
      <c r="U14" s="1961"/>
    </row>
    <row r="15" spans="1:21" s="29" customFormat="1" ht="24.75" customHeight="1">
      <c r="A15" s="1483"/>
      <c r="B15" s="1954"/>
      <c r="C15" s="1963" t="s">
        <v>4</v>
      </c>
      <c r="D15" s="1963"/>
      <c r="E15" s="1964"/>
      <c r="F15" s="516">
        <f>SUM(F12:F14)</f>
        <v>21200</v>
      </c>
      <c r="G15" s="1506"/>
      <c r="H15" s="517"/>
      <c r="I15" s="518"/>
      <c r="J15" s="519"/>
      <c r="K15" s="520"/>
      <c r="L15" s="1957"/>
      <c r="M15" s="520"/>
      <c r="N15" s="520"/>
      <c r="O15" s="519"/>
      <c r="P15" s="1957"/>
      <c r="Q15" s="1959"/>
      <c r="R15" s="518"/>
      <c r="S15" s="518"/>
      <c r="T15" s="1957"/>
      <c r="U15" s="1962"/>
    </row>
    <row r="16" spans="1:21" s="29" customFormat="1" ht="75">
      <c r="A16" s="1058" t="s">
        <v>1528</v>
      </c>
      <c r="B16" s="342" t="s">
        <v>1020</v>
      </c>
      <c r="C16" s="1058" t="s">
        <v>1021</v>
      </c>
      <c r="D16" s="503" t="s">
        <v>1022</v>
      </c>
      <c r="E16" s="1044" t="s">
        <v>1023</v>
      </c>
      <c r="F16" s="504">
        <v>1200</v>
      </c>
      <c r="G16" s="1504" t="s">
        <v>77</v>
      </c>
      <c r="H16" s="524" t="s">
        <v>1024</v>
      </c>
      <c r="I16" s="506"/>
      <c r="J16" s="507"/>
      <c r="K16" s="508"/>
      <c r="L16" s="507"/>
      <c r="M16" s="508"/>
      <c r="N16" s="508"/>
      <c r="O16" s="507"/>
      <c r="P16" s="506"/>
      <c r="Q16" s="1958">
        <v>1200</v>
      </c>
      <c r="R16" s="506"/>
      <c r="S16" s="506"/>
      <c r="T16" s="506"/>
      <c r="U16" s="1960" t="s">
        <v>1009</v>
      </c>
    </row>
    <row r="17" spans="1:21" s="29" customFormat="1" ht="18.75">
      <c r="A17" s="1045"/>
      <c r="B17" s="1932" t="s">
        <v>4</v>
      </c>
      <c r="C17" s="1932"/>
      <c r="D17" s="1932"/>
      <c r="E17" s="1932"/>
      <c r="F17" s="516">
        <f>SUM(F16:F16)</f>
        <v>1200</v>
      </c>
      <c r="G17" s="1506"/>
      <c r="H17" s="517"/>
      <c r="I17" s="518"/>
      <c r="J17" s="519"/>
      <c r="K17" s="520"/>
      <c r="L17" s="519"/>
      <c r="M17" s="520"/>
      <c r="N17" s="520"/>
      <c r="O17" s="519"/>
      <c r="P17" s="518"/>
      <c r="Q17" s="1959"/>
      <c r="R17" s="518"/>
      <c r="S17" s="518"/>
      <c r="T17" s="518"/>
      <c r="U17" s="1962"/>
    </row>
    <row r="18" spans="1:21" s="29" customFormat="1" ht="18.75" customHeight="1">
      <c r="A18" s="1481" t="s">
        <v>1529</v>
      </c>
      <c r="B18" s="1481" t="s">
        <v>1025</v>
      </c>
      <c r="C18" s="1481" t="s">
        <v>1026</v>
      </c>
      <c r="D18" s="1970" t="s">
        <v>1027</v>
      </c>
      <c r="E18" s="523" t="s">
        <v>1028</v>
      </c>
      <c r="F18" s="504">
        <v>240</v>
      </c>
      <c r="G18" s="1504" t="s">
        <v>77</v>
      </c>
      <c r="H18" s="524" t="s">
        <v>1029</v>
      </c>
      <c r="I18" s="506"/>
      <c r="J18" s="507"/>
      <c r="K18" s="508"/>
      <c r="L18" s="507"/>
      <c r="M18" s="508"/>
      <c r="N18" s="1955">
        <v>7920</v>
      </c>
      <c r="O18" s="507"/>
      <c r="P18" s="506"/>
      <c r="Q18" s="525"/>
      <c r="R18" s="506"/>
      <c r="S18" s="506"/>
      <c r="T18" s="506"/>
      <c r="U18" s="1960" t="s">
        <v>1009</v>
      </c>
    </row>
    <row r="19" spans="1:21" s="29" customFormat="1" ht="37.5">
      <c r="A19" s="1482"/>
      <c r="B19" s="1482"/>
      <c r="C19" s="1482"/>
      <c r="D19" s="1971"/>
      <c r="E19" s="523" t="s">
        <v>1030</v>
      </c>
      <c r="F19" s="526">
        <v>480</v>
      </c>
      <c r="G19" s="1505"/>
      <c r="H19" s="515"/>
      <c r="I19" s="510"/>
      <c r="J19" s="511"/>
      <c r="K19" s="512"/>
      <c r="L19" s="511"/>
      <c r="M19" s="512"/>
      <c r="N19" s="1956"/>
      <c r="O19" s="511"/>
      <c r="P19" s="510"/>
      <c r="Q19" s="527"/>
      <c r="R19" s="510"/>
      <c r="S19" s="510"/>
      <c r="T19" s="510"/>
      <c r="U19" s="1961"/>
    </row>
    <row r="20" spans="1:21" s="29" customFormat="1" ht="37.5">
      <c r="A20" s="1482"/>
      <c r="B20" s="1482"/>
      <c r="C20" s="1482"/>
      <c r="D20" s="1971"/>
      <c r="E20" s="523" t="s">
        <v>1031</v>
      </c>
      <c r="F20" s="504">
        <v>3000</v>
      </c>
      <c r="G20" s="1505"/>
      <c r="H20" s="515"/>
      <c r="I20" s="510"/>
      <c r="J20" s="511"/>
      <c r="K20" s="512"/>
      <c r="L20" s="511"/>
      <c r="M20" s="512"/>
      <c r="N20" s="1956"/>
      <c r="O20" s="511"/>
      <c r="P20" s="510"/>
      <c r="Q20" s="527"/>
      <c r="R20" s="510"/>
      <c r="S20" s="510"/>
      <c r="T20" s="510"/>
      <c r="U20" s="1961"/>
    </row>
    <row r="21" spans="1:21" s="29" customFormat="1" ht="37.5">
      <c r="A21" s="1482"/>
      <c r="B21" s="1483"/>
      <c r="C21" s="1483"/>
      <c r="D21" s="1972"/>
      <c r="E21" s="523" t="s">
        <v>1032</v>
      </c>
      <c r="F21" s="504">
        <v>4200</v>
      </c>
      <c r="G21" s="1505"/>
      <c r="H21" s="515"/>
      <c r="I21" s="510"/>
      <c r="J21" s="511"/>
      <c r="K21" s="512"/>
      <c r="L21" s="511"/>
      <c r="M21" s="512"/>
      <c r="N21" s="1956"/>
      <c r="O21" s="511"/>
      <c r="P21" s="510"/>
      <c r="Q21" s="527"/>
      <c r="R21" s="510"/>
      <c r="S21" s="510"/>
      <c r="T21" s="510"/>
      <c r="U21" s="1961"/>
    </row>
    <row r="22" spans="1:21" s="29" customFormat="1" ht="18.75">
      <c r="A22" s="1483"/>
      <c r="B22" s="1966" t="s">
        <v>4</v>
      </c>
      <c r="C22" s="1963"/>
      <c r="D22" s="1963"/>
      <c r="E22" s="1963"/>
      <c r="F22" s="528">
        <f>SUM(F18:F21)</f>
        <v>7920</v>
      </c>
      <c r="G22" s="1506"/>
      <c r="H22" s="517"/>
      <c r="I22" s="518"/>
      <c r="J22" s="519"/>
      <c r="K22" s="520"/>
      <c r="L22" s="519"/>
      <c r="M22" s="520"/>
      <c r="N22" s="1957"/>
      <c r="O22" s="519"/>
      <c r="P22" s="518"/>
      <c r="Q22" s="529"/>
      <c r="R22" s="518"/>
      <c r="S22" s="518"/>
      <c r="T22" s="518"/>
      <c r="U22" s="1962"/>
    </row>
    <row r="23" spans="1:21" s="29" customFormat="1" ht="37.5">
      <c r="A23" s="1516" t="s">
        <v>1530</v>
      </c>
      <c r="B23" s="1516" t="s">
        <v>1033</v>
      </c>
      <c r="C23" s="1516" t="s">
        <v>1034</v>
      </c>
      <c r="D23" s="1973" t="s">
        <v>1035</v>
      </c>
      <c r="E23" s="530" t="s">
        <v>1036</v>
      </c>
      <c r="F23" s="345">
        <v>1200</v>
      </c>
      <c r="G23" s="1504" t="s">
        <v>77</v>
      </c>
      <c r="H23" s="531"/>
      <c r="I23" s="532"/>
      <c r="J23" s="507"/>
      <c r="K23" s="533"/>
      <c r="L23" s="507"/>
      <c r="M23" s="533"/>
      <c r="N23" s="533"/>
      <c r="O23" s="507"/>
      <c r="P23" s="1968">
        <v>16200</v>
      </c>
      <c r="Q23" s="534"/>
      <c r="R23" s="532"/>
      <c r="S23" s="532"/>
      <c r="T23" s="532"/>
      <c r="U23" s="1960" t="s">
        <v>1009</v>
      </c>
    </row>
    <row r="24" spans="1:21" s="29" customFormat="1" ht="37.5">
      <c r="A24" s="1516"/>
      <c r="B24" s="1516"/>
      <c r="C24" s="1516"/>
      <c r="D24" s="1973"/>
      <c r="E24" s="335" t="s">
        <v>1037</v>
      </c>
      <c r="F24" s="345">
        <v>15000</v>
      </c>
      <c r="G24" s="1505"/>
      <c r="H24" s="515" t="s">
        <v>1038</v>
      </c>
      <c r="I24" s="535"/>
      <c r="J24" s="511"/>
      <c r="K24" s="536"/>
      <c r="L24" s="511"/>
      <c r="M24" s="536"/>
      <c r="N24" s="536"/>
      <c r="O24" s="511"/>
      <c r="P24" s="1969"/>
      <c r="Q24" s="537"/>
      <c r="R24" s="535"/>
      <c r="S24" s="535"/>
      <c r="T24" s="535"/>
      <c r="U24" s="1961"/>
    </row>
    <row r="25" spans="1:21" s="29" customFormat="1" ht="18.75">
      <c r="A25" s="1516"/>
      <c r="B25" s="1967" t="s">
        <v>4</v>
      </c>
      <c r="C25" s="1967"/>
      <c r="D25" s="1967"/>
      <c r="E25" s="1967"/>
      <c r="F25" s="164">
        <f>SUM(F23:F24)</f>
        <v>16200</v>
      </c>
      <c r="G25" s="1505"/>
      <c r="H25" s="515"/>
      <c r="I25" s="535"/>
      <c r="J25" s="511"/>
      <c r="K25" s="536"/>
      <c r="L25" s="511"/>
      <c r="M25" s="536"/>
      <c r="N25" s="536"/>
      <c r="O25" s="511"/>
      <c r="P25" s="1969"/>
      <c r="Q25" s="535"/>
      <c r="R25" s="535"/>
      <c r="S25" s="535"/>
      <c r="T25" s="535"/>
      <c r="U25" s="1961"/>
    </row>
    <row r="26" spans="1:21" s="29" customFormat="1" ht="42.75">
      <c r="A26" s="1059"/>
      <c r="B26" s="1059"/>
      <c r="C26" s="1059"/>
      <c r="D26" s="1059"/>
      <c r="E26" s="290" t="s">
        <v>139</v>
      </c>
      <c r="F26" s="175">
        <f>SUM(F25,F22,F17,F15,F11)</f>
        <v>131740</v>
      </c>
      <c r="G26" s="357"/>
      <c r="H26" s="538"/>
      <c r="I26" s="539">
        <f t="shared" ref="I26:T26" si="0">SUM(I7:I25)</f>
        <v>0</v>
      </c>
      <c r="J26" s="539">
        <f t="shared" si="0"/>
        <v>0</v>
      </c>
      <c r="K26" s="539">
        <f t="shared" si="0"/>
        <v>0</v>
      </c>
      <c r="L26" s="539">
        <f t="shared" si="0"/>
        <v>54710</v>
      </c>
      <c r="M26" s="539">
        <f t="shared" si="0"/>
        <v>0</v>
      </c>
      <c r="N26" s="539">
        <f t="shared" si="0"/>
        <v>7920</v>
      </c>
      <c r="O26" s="539">
        <f t="shared" si="0"/>
        <v>0</v>
      </c>
      <c r="P26" s="539">
        <f t="shared" si="0"/>
        <v>67910</v>
      </c>
      <c r="Q26" s="539">
        <f t="shared" si="0"/>
        <v>1200</v>
      </c>
      <c r="R26" s="539">
        <f t="shared" si="0"/>
        <v>0</v>
      </c>
      <c r="S26" s="539">
        <f t="shared" si="0"/>
        <v>0</v>
      </c>
      <c r="T26" s="539">
        <f t="shared" si="0"/>
        <v>0</v>
      </c>
      <c r="U26" s="540"/>
    </row>
    <row r="27" spans="1:21" ht="21.75">
      <c r="A27" s="394" t="s">
        <v>1039</v>
      </c>
      <c r="B27" s="394"/>
      <c r="C27" s="394"/>
      <c r="D27" s="394"/>
      <c r="E27" s="346"/>
      <c r="F27" s="74"/>
      <c r="G27" s="74"/>
      <c r="H27" s="541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</row>
    <row r="28" spans="1:21" s="29" customFormat="1" ht="37.5">
      <c r="A28" s="1481" t="s">
        <v>1531</v>
      </c>
      <c r="B28" s="1481" t="s">
        <v>1040</v>
      </c>
      <c r="C28" s="1481" t="s">
        <v>1041</v>
      </c>
      <c r="D28" s="1974" t="s">
        <v>1042</v>
      </c>
      <c r="E28" s="543" t="s">
        <v>1043</v>
      </c>
      <c r="F28" s="544">
        <v>30000</v>
      </c>
      <c r="G28" s="1984" t="s">
        <v>1044</v>
      </c>
      <c r="H28" s="545">
        <v>22630</v>
      </c>
      <c r="I28" s="532"/>
      <c r="J28" s="546"/>
      <c r="K28" s="1968">
        <v>45000</v>
      </c>
      <c r="L28" s="1968">
        <v>96000</v>
      </c>
      <c r="M28" s="533"/>
      <c r="N28" s="547"/>
      <c r="O28" s="507"/>
      <c r="P28" s="1968">
        <v>320000</v>
      </c>
      <c r="Q28" s="532"/>
      <c r="R28" s="548"/>
      <c r="S28" s="532"/>
      <c r="T28" s="548"/>
      <c r="U28" s="1960" t="s">
        <v>1009</v>
      </c>
    </row>
    <row r="29" spans="1:21" s="29" customFormat="1" ht="37.5">
      <c r="A29" s="1482"/>
      <c r="B29" s="1482"/>
      <c r="C29" s="1482"/>
      <c r="D29" s="1975"/>
      <c r="E29" s="549" t="s">
        <v>1045</v>
      </c>
      <c r="F29" s="550">
        <v>15000</v>
      </c>
      <c r="G29" s="1985"/>
      <c r="H29" s="551">
        <v>22661</v>
      </c>
      <c r="I29" s="552"/>
      <c r="J29" s="511"/>
      <c r="K29" s="1969"/>
      <c r="L29" s="1969"/>
      <c r="M29" s="553"/>
      <c r="N29" s="553"/>
      <c r="O29" s="511"/>
      <c r="P29" s="1969"/>
      <c r="Q29" s="552"/>
      <c r="R29" s="535"/>
      <c r="S29" s="552"/>
      <c r="T29" s="535"/>
      <c r="U29" s="1961"/>
    </row>
    <row r="30" spans="1:21" s="29" customFormat="1" ht="56.25">
      <c r="A30" s="1482"/>
      <c r="B30" s="1482"/>
      <c r="C30" s="1482"/>
      <c r="D30" s="1975"/>
      <c r="E30" s="549" t="s">
        <v>1046</v>
      </c>
      <c r="F30" s="550">
        <v>96000</v>
      </c>
      <c r="G30" s="1505"/>
      <c r="H30" s="521">
        <v>22786</v>
      </c>
      <c r="I30" s="535"/>
      <c r="J30" s="511"/>
      <c r="K30" s="1969"/>
      <c r="L30" s="1969"/>
      <c r="M30" s="536"/>
      <c r="N30" s="536"/>
      <c r="O30" s="511"/>
      <c r="P30" s="1969"/>
      <c r="Q30" s="535"/>
      <c r="R30" s="535"/>
      <c r="S30" s="535"/>
      <c r="T30" s="535"/>
      <c r="U30" s="1961"/>
    </row>
    <row r="31" spans="1:21" s="29" customFormat="1" ht="47.25">
      <c r="A31" s="1482"/>
      <c r="B31" s="1482"/>
      <c r="C31" s="1482"/>
      <c r="D31" s="1975"/>
      <c r="E31" s="171" t="s">
        <v>1047</v>
      </c>
      <c r="F31" s="550">
        <v>180000</v>
      </c>
      <c r="G31" s="1505"/>
      <c r="H31" s="515"/>
      <c r="I31" s="535"/>
      <c r="J31" s="511"/>
      <c r="K31" s="1969"/>
      <c r="L31" s="1969"/>
      <c r="M31" s="536"/>
      <c r="N31" s="536"/>
      <c r="O31" s="511"/>
      <c r="P31" s="1969"/>
      <c r="Q31" s="535"/>
      <c r="R31" s="535"/>
      <c r="S31" s="535"/>
      <c r="T31" s="535"/>
      <c r="U31" s="1961"/>
    </row>
    <row r="32" spans="1:21" s="29" customFormat="1" ht="47.25">
      <c r="A32" s="1482"/>
      <c r="B32" s="1483"/>
      <c r="C32" s="1482"/>
      <c r="D32" s="1975"/>
      <c r="E32" s="172" t="s">
        <v>1048</v>
      </c>
      <c r="F32" s="554">
        <v>140000</v>
      </c>
      <c r="G32" s="1505"/>
      <c r="H32" s="515"/>
      <c r="I32" s="535"/>
      <c r="J32" s="511"/>
      <c r="K32" s="1969"/>
      <c r="L32" s="1969"/>
      <c r="M32" s="536"/>
      <c r="N32" s="536"/>
      <c r="O32" s="511"/>
      <c r="P32" s="1969"/>
      <c r="Q32" s="535"/>
      <c r="R32" s="535"/>
      <c r="S32" s="535"/>
      <c r="T32" s="535"/>
      <c r="U32" s="1961"/>
    </row>
    <row r="33" spans="1:21" s="29" customFormat="1" ht="18.75">
      <c r="A33" s="1483"/>
      <c r="B33" s="1976" t="s">
        <v>4</v>
      </c>
      <c r="C33" s="1977"/>
      <c r="D33" s="1977"/>
      <c r="E33" s="1978"/>
      <c r="F33" s="173">
        <f>SUM(F28:F32)</f>
        <v>461000</v>
      </c>
      <c r="G33" s="1506"/>
      <c r="H33" s="517"/>
      <c r="I33" s="555"/>
      <c r="J33" s="519"/>
      <c r="K33" s="1983"/>
      <c r="L33" s="1983"/>
      <c r="M33" s="556"/>
      <c r="N33" s="556"/>
      <c r="O33" s="519"/>
      <c r="P33" s="1983"/>
      <c r="Q33" s="555"/>
      <c r="R33" s="555"/>
      <c r="S33" s="555"/>
      <c r="T33" s="555"/>
      <c r="U33" s="1962"/>
    </row>
    <row r="34" spans="1:21" s="29" customFormat="1" ht="56.25">
      <c r="A34" s="1481" t="s">
        <v>1532</v>
      </c>
      <c r="B34" s="1943" t="s">
        <v>1049</v>
      </c>
      <c r="C34" s="1943" t="s">
        <v>1041</v>
      </c>
      <c r="D34" s="1979" t="s">
        <v>1050</v>
      </c>
      <c r="E34" s="557" t="s">
        <v>1051</v>
      </c>
      <c r="F34" s="174">
        <v>100000</v>
      </c>
      <c r="G34" s="1504" t="s">
        <v>1044</v>
      </c>
      <c r="H34" s="558">
        <v>22692</v>
      </c>
      <c r="I34" s="555"/>
      <c r="J34" s="519"/>
      <c r="K34" s="522"/>
      <c r="L34" s="522"/>
      <c r="M34" s="1955">
        <v>100000</v>
      </c>
      <c r="N34" s="520"/>
      <c r="O34" s="519"/>
      <c r="P34" s="522"/>
      <c r="Q34" s="1955">
        <v>100000</v>
      </c>
      <c r="R34" s="555"/>
      <c r="S34" s="555"/>
      <c r="T34" s="555"/>
      <c r="U34" s="1960" t="s">
        <v>1009</v>
      </c>
    </row>
    <row r="35" spans="1:21" s="29" customFormat="1" ht="75">
      <c r="A35" s="1482"/>
      <c r="B35" s="1945"/>
      <c r="C35" s="1945"/>
      <c r="D35" s="1980"/>
      <c r="E35" s="557" t="s">
        <v>1052</v>
      </c>
      <c r="F35" s="174">
        <v>100000</v>
      </c>
      <c r="G35" s="1505"/>
      <c r="H35" s="558">
        <v>22812</v>
      </c>
      <c r="I35" s="555"/>
      <c r="J35" s="519"/>
      <c r="K35" s="522"/>
      <c r="L35" s="522"/>
      <c r="M35" s="1957"/>
      <c r="N35" s="520"/>
      <c r="O35" s="519"/>
      <c r="P35" s="522"/>
      <c r="Q35" s="1957"/>
      <c r="R35" s="555"/>
      <c r="S35" s="555"/>
      <c r="T35" s="555"/>
      <c r="U35" s="1961"/>
    </row>
    <row r="36" spans="1:21" s="29" customFormat="1" ht="18.75">
      <c r="A36" s="1981" t="s">
        <v>4</v>
      </c>
      <c r="B36" s="1982"/>
      <c r="C36" s="1982"/>
      <c r="D36" s="1982"/>
      <c r="E36" s="559"/>
      <c r="F36" s="173">
        <f>SUM(F34:F35)</f>
        <v>200000</v>
      </c>
      <c r="G36" s="1506"/>
      <c r="H36" s="517"/>
      <c r="I36" s="555"/>
      <c r="J36" s="519"/>
      <c r="K36" s="522"/>
      <c r="L36" s="522"/>
      <c r="M36" s="556"/>
      <c r="N36" s="556"/>
      <c r="O36" s="519"/>
      <c r="P36" s="522"/>
      <c r="Q36" s="555"/>
      <c r="R36" s="555"/>
      <c r="S36" s="555"/>
      <c r="T36" s="555"/>
      <c r="U36" s="1962"/>
    </row>
    <row r="37" spans="1:21" s="29" customFormat="1" ht="49.5" customHeight="1">
      <c r="A37" s="560"/>
      <c r="B37" s="561"/>
      <c r="C37" s="561"/>
      <c r="D37" s="562"/>
      <c r="E37" s="290" t="s">
        <v>139</v>
      </c>
      <c r="F37" s="175">
        <f>F36+F33</f>
        <v>661000</v>
      </c>
      <c r="G37" s="291"/>
      <c r="H37" s="563"/>
      <c r="I37" s="564">
        <f>SUM(I28:I33)</f>
        <v>0</v>
      </c>
      <c r="J37" s="564">
        <f>SUM(J28:J33)</f>
        <v>0</v>
      </c>
      <c r="K37" s="564">
        <f>SUM(K28:K33)</f>
        <v>45000</v>
      </c>
      <c r="L37" s="564">
        <f>SUM(L28:L33)</f>
        <v>96000</v>
      </c>
      <c r="M37" s="564">
        <f>SUM(M31:M36)</f>
        <v>100000</v>
      </c>
      <c r="N37" s="564">
        <f t="shared" ref="N37:T37" si="1">SUM(N28:N33)</f>
        <v>0</v>
      </c>
      <c r="O37" s="564">
        <f t="shared" si="1"/>
        <v>0</v>
      </c>
      <c r="P37" s="564">
        <f t="shared" si="1"/>
        <v>320000</v>
      </c>
      <c r="Q37" s="564">
        <f>SUM(Q31:Q36)</f>
        <v>100000</v>
      </c>
      <c r="R37" s="564">
        <f t="shared" si="1"/>
        <v>0</v>
      </c>
      <c r="S37" s="564">
        <f t="shared" si="1"/>
        <v>0</v>
      </c>
      <c r="T37" s="564">
        <f t="shared" si="1"/>
        <v>0</v>
      </c>
      <c r="U37" s="565"/>
    </row>
    <row r="39" spans="1:21" s="168" customFormat="1" ht="18.75">
      <c r="A39" s="165"/>
      <c r="B39" s="165"/>
      <c r="C39" s="165"/>
      <c r="D39" s="166"/>
      <c r="E39" s="167"/>
      <c r="H39" s="169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</sheetData>
  <mergeCells count="94"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34:A35"/>
    <mergeCell ref="L28:L33"/>
    <mergeCell ref="G28:G33"/>
    <mergeCell ref="K28:K33"/>
    <mergeCell ref="P28:P33"/>
    <mergeCell ref="A23:A25"/>
    <mergeCell ref="B23:B24"/>
    <mergeCell ref="C23:C24"/>
    <mergeCell ref="D23:D24"/>
    <mergeCell ref="A28:A33"/>
    <mergeCell ref="B28:B32"/>
    <mergeCell ref="C28:C32"/>
    <mergeCell ref="D28:D32"/>
    <mergeCell ref="A18:A22"/>
    <mergeCell ref="B18:B21"/>
    <mergeCell ref="C18:C21"/>
    <mergeCell ref="D18:D21"/>
    <mergeCell ref="G18:G22"/>
    <mergeCell ref="N18:N22"/>
    <mergeCell ref="U18:U22"/>
    <mergeCell ref="B22:E22"/>
    <mergeCell ref="U23:U25"/>
    <mergeCell ref="B25:E25"/>
    <mergeCell ref="P23:P25"/>
    <mergeCell ref="G23:G2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A12:A15"/>
    <mergeCell ref="B12:B15"/>
    <mergeCell ref="C12:C13"/>
    <mergeCell ref="G12:G15"/>
    <mergeCell ref="L12:L15"/>
    <mergeCell ref="O7:O11"/>
    <mergeCell ref="Q7:Q11"/>
    <mergeCell ref="H7:H11"/>
    <mergeCell ref="I7:I11"/>
    <mergeCell ref="J7:J11"/>
    <mergeCell ref="K7:K11"/>
    <mergeCell ref="L7:L11"/>
    <mergeCell ref="M7:M11"/>
    <mergeCell ref="A7:A11"/>
    <mergeCell ref="B7:B10"/>
    <mergeCell ref="C7:C10"/>
    <mergeCell ref="D7:D10"/>
    <mergeCell ref="G7:G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P7:P11"/>
    <mergeCell ref="N7:N11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3"/>
  <sheetViews>
    <sheetView topLeftCell="A32" zoomScaleSheetLayoutView="90" workbookViewId="0">
      <selection activeCell="H2" sqref="H1:U65536"/>
    </sheetView>
  </sheetViews>
  <sheetFormatPr defaultColWidth="9" defaultRowHeight="18.75"/>
  <cols>
    <col min="1" max="4" width="17" style="60" customWidth="1"/>
    <col min="5" max="5" width="22.75" style="60" customWidth="1"/>
    <col min="6" max="6" width="11.75" style="60" customWidth="1"/>
    <col min="7" max="7" width="4.25" style="60" customWidth="1"/>
    <col min="8" max="8" width="11.875" style="60" customWidth="1"/>
    <col min="9" max="20" width="4.375" style="805" customWidth="1"/>
    <col min="21" max="21" width="8.75" style="60" customWidth="1"/>
    <col min="22" max="16384" width="9" style="60"/>
  </cols>
  <sheetData>
    <row r="1" spans="1:21" ht="20.25">
      <c r="A1" s="1564" t="s">
        <v>651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  <c r="Q1" s="1564"/>
      <c r="R1" s="1564"/>
      <c r="S1" s="1564"/>
      <c r="T1" s="1564"/>
      <c r="U1" s="1564"/>
    </row>
    <row r="2" spans="1:21" ht="20.25">
      <c r="A2" s="1565" t="s">
        <v>652</v>
      </c>
      <c r="B2" s="1565"/>
      <c r="C2" s="1565"/>
      <c r="D2" s="1565"/>
      <c r="E2" s="235"/>
      <c r="F2" s="32"/>
      <c r="G2" s="32"/>
      <c r="H2" s="32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32"/>
    </row>
    <row r="3" spans="1:21" ht="20.25">
      <c r="A3" s="1565" t="s">
        <v>653</v>
      </c>
      <c r="B3" s="1565"/>
      <c r="C3" s="1565"/>
      <c r="D3" s="1565"/>
      <c r="E3" s="235"/>
      <c r="F3" s="32"/>
      <c r="G3" s="32"/>
      <c r="H3" s="32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32"/>
    </row>
    <row r="4" spans="1:21">
      <c r="A4" s="1989" t="s">
        <v>44</v>
      </c>
      <c r="B4" s="1992" t="s">
        <v>45</v>
      </c>
      <c r="C4" s="1992" t="s">
        <v>46</v>
      </c>
      <c r="D4" s="1992" t="s">
        <v>47</v>
      </c>
      <c r="E4" s="1992" t="s">
        <v>48</v>
      </c>
      <c r="F4" s="1992"/>
      <c r="G4" s="1992"/>
      <c r="H4" s="1992" t="s">
        <v>49</v>
      </c>
      <c r="I4" s="1986" t="s">
        <v>50</v>
      </c>
      <c r="J4" s="1986"/>
      <c r="K4" s="1986"/>
      <c r="L4" s="1986"/>
      <c r="M4" s="1986"/>
      <c r="N4" s="1986"/>
      <c r="O4" s="1986"/>
      <c r="P4" s="1986"/>
      <c r="Q4" s="1986"/>
      <c r="R4" s="1986"/>
      <c r="S4" s="1986"/>
      <c r="T4" s="1986"/>
      <c r="U4" s="1989" t="s">
        <v>153</v>
      </c>
    </row>
    <row r="5" spans="1:21">
      <c r="A5" s="1990"/>
      <c r="B5" s="1992"/>
      <c r="C5" s="1992"/>
      <c r="D5" s="1992"/>
      <c r="E5" s="1989" t="s">
        <v>52</v>
      </c>
      <c r="F5" s="1989" t="s">
        <v>53</v>
      </c>
      <c r="G5" s="1992" t="s">
        <v>54</v>
      </c>
      <c r="H5" s="1992"/>
      <c r="I5" s="1986" t="s">
        <v>55</v>
      </c>
      <c r="J5" s="1986" t="s">
        <v>56</v>
      </c>
      <c r="K5" s="1986" t="s">
        <v>57</v>
      </c>
      <c r="L5" s="1986" t="s">
        <v>58</v>
      </c>
      <c r="M5" s="1986" t="s">
        <v>59</v>
      </c>
      <c r="N5" s="1986" t="s">
        <v>60</v>
      </c>
      <c r="O5" s="1986" t="s">
        <v>61</v>
      </c>
      <c r="P5" s="1986" t="s">
        <v>62</v>
      </c>
      <c r="Q5" s="1986" t="s">
        <v>63</v>
      </c>
      <c r="R5" s="1986" t="s">
        <v>64</v>
      </c>
      <c r="S5" s="1986" t="s">
        <v>65</v>
      </c>
      <c r="T5" s="1986" t="s">
        <v>66</v>
      </c>
      <c r="U5" s="1990"/>
    </row>
    <row r="6" spans="1:21">
      <c r="A6" s="1991"/>
      <c r="B6" s="1992"/>
      <c r="C6" s="1992"/>
      <c r="D6" s="1992"/>
      <c r="E6" s="1991"/>
      <c r="F6" s="1991"/>
      <c r="G6" s="1992"/>
      <c r="H6" s="1992"/>
      <c r="I6" s="1986"/>
      <c r="J6" s="1986"/>
      <c r="K6" s="1986"/>
      <c r="L6" s="1986"/>
      <c r="M6" s="1986"/>
      <c r="N6" s="1986"/>
      <c r="O6" s="1986"/>
      <c r="P6" s="1986"/>
      <c r="Q6" s="1986"/>
      <c r="R6" s="1986"/>
      <c r="S6" s="1986"/>
      <c r="T6" s="1986"/>
      <c r="U6" s="1991"/>
    </row>
    <row r="7" spans="1:21" ht="56.25">
      <c r="A7" s="1455" t="s">
        <v>654</v>
      </c>
      <c r="B7" s="1826" t="s">
        <v>655</v>
      </c>
      <c r="C7" s="1437" t="s">
        <v>656</v>
      </c>
      <c r="D7" s="1440" t="s">
        <v>657</v>
      </c>
      <c r="E7" s="62" t="s">
        <v>658</v>
      </c>
      <c r="F7" s="61">
        <v>6400</v>
      </c>
      <c r="G7" s="1527" t="s">
        <v>77</v>
      </c>
      <c r="H7" s="1493" t="s">
        <v>659</v>
      </c>
      <c r="I7" s="1987"/>
      <c r="J7" s="1987"/>
      <c r="K7" s="1987">
        <v>5800</v>
      </c>
      <c r="L7" s="1987"/>
      <c r="M7" s="1987"/>
      <c r="N7" s="1987"/>
      <c r="O7" s="1987"/>
      <c r="P7" s="1987">
        <v>5800</v>
      </c>
      <c r="Q7" s="1987"/>
      <c r="R7" s="1987"/>
      <c r="S7" s="1987"/>
      <c r="T7" s="1987"/>
      <c r="U7" s="1493" t="s">
        <v>660</v>
      </c>
    </row>
    <row r="8" spans="1:21" ht="56.25">
      <c r="A8" s="1456"/>
      <c r="B8" s="1827"/>
      <c r="C8" s="1438"/>
      <c r="D8" s="1440"/>
      <c r="E8" s="240" t="s">
        <v>661</v>
      </c>
      <c r="F8" s="61">
        <v>3200</v>
      </c>
      <c r="G8" s="1528"/>
      <c r="H8" s="1473"/>
      <c r="I8" s="1988"/>
      <c r="J8" s="1988"/>
      <c r="K8" s="1988"/>
      <c r="L8" s="1988"/>
      <c r="M8" s="1988"/>
      <c r="N8" s="1988"/>
      <c r="O8" s="1988"/>
      <c r="P8" s="1988"/>
      <c r="Q8" s="1988"/>
      <c r="R8" s="1988"/>
      <c r="S8" s="1988"/>
      <c r="T8" s="1988"/>
      <c r="U8" s="1473"/>
    </row>
    <row r="9" spans="1:21">
      <c r="A9" s="1456"/>
      <c r="B9" s="806"/>
      <c r="C9" s="749"/>
      <c r="D9" s="1440"/>
      <c r="E9" s="240" t="s">
        <v>662</v>
      </c>
      <c r="F9" s="61">
        <v>1000</v>
      </c>
      <c r="G9" s="1528"/>
      <c r="H9" s="1473"/>
      <c r="I9" s="1988"/>
      <c r="J9" s="1988"/>
      <c r="K9" s="1988"/>
      <c r="L9" s="1988"/>
      <c r="M9" s="1988"/>
      <c r="N9" s="1988"/>
      <c r="O9" s="1988"/>
      <c r="P9" s="1988"/>
      <c r="Q9" s="1988"/>
      <c r="R9" s="1988"/>
      <c r="S9" s="1988"/>
      <c r="T9" s="1988"/>
      <c r="U9" s="1473"/>
    </row>
    <row r="10" spans="1:21">
      <c r="A10" s="1456"/>
      <c r="B10" s="807"/>
      <c r="C10" s="808"/>
      <c r="D10" s="1440"/>
      <c r="E10" s="66" t="s">
        <v>208</v>
      </c>
      <c r="F10" s="809">
        <v>1000</v>
      </c>
      <c r="G10" s="1528"/>
      <c r="H10" s="1473"/>
      <c r="I10" s="1988"/>
      <c r="J10" s="1988"/>
      <c r="K10" s="1988"/>
      <c r="L10" s="1988"/>
      <c r="M10" s="1988"/>
      <c r="N10" s="1988"/>
      <c r="O10" s="1988"/>
      <c r="P10" s="1988"/>
      <c r="Q10" s="1988"/>
      <c r="R10" s="1988"/>
      <c r="S10" s="1988"/>
      <c r="T10" s="1988"/>
      <c r="U10" s="1473"/>
    </row>
    <row r="11" spans="1:21">
      <c r="A11" s="1457"/>
      <c r="B11" s="810"/>
      <c r="C11" s="811"/>
      <c r="D11" s="1440"/>
      <c r="E11" s="812" t="s">
        <v>4</v>
      </c>
      <c r="F11" s="69">
        <f>SUM(F7:F10)</f>
        <v>11600</v>
      </c>
      <c r="G11" s="38"/>
      <c r="H11" s="38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38"/>
    </row>
    <row r="12" spans="1:21" ht="56.25">
      <c r="A12" s="1455" t="s">
        <v>663</v>
      </c>
      <c r="B12" s="1456" t="s">
        <v>664</v>
      </c>
      <c r="C12" s="1455" t="s">
        <v>665</v>
      </c>
      <c r="D12" s="1493" t="s">
        <v>666</v>
      </c>
      <c r="E12" s="240" t="s">
        <v>667</v>
      </c>
      <c r="F12" s="61">
        <v>1600</v>
      </c>
      <c r="G12" s="1527" t="s">
        <v>77</v>
      </c>
      <c r="H12" s="1493" t="s">
        <v>668</v>
      </c>
      <c r="I12" s="1987"/>
      <c r="J12" s="1987">
        <v>17000</v>
      </c>
      <c r="K12" s="1987"/>
      <c r="L12" s="780"/>
      <c r="M12" s="1987"/>
      <c r="N12" s="1987"/>
      <c r="O12" s="1987"/>
      <c r="P12" s="1987"/>
      <c r="Q12" s="1987">
        <v>17000</v>
      </c>
      <c r="R12" s="780"/>
      <c r="S12" s="1987"/>
      <c r="T12" s="1987"/>
      <c r="U12" s="1493" t="s">
        <v>669</v>
      </c>
    </row>
    <row r="13" spans="1:21" ht="75">
      <c r="A13" s="1456"/>
      <c r="B13" s="1456"/>
      <c r="C13" s="1456"/>
      <c r="D13" s="1473"/>
      <c r="E13" s="240" t="s">
        <v>670</v>
      </c>
      <c r="F13" s="61">
        <v>32400</v>
      </c>
      <c r="G13" s="1529"/>
      <c r="H13" s="1474"/>
      <c r="I13" s="1993"/>
      <c r="J13" s="1993"/>
      <c r="K13" s="1993"/>
      <c r="L13" s="780"/>
      <c r="M13" s="1993"/>
      <c r="N13" s="1993"/>
      <c r="O13" s="1993"/>
      <c r="P13" s="1993"/>
      <c r="Q13" s="1993"/>
      <c r="R13" s="780"/>
      <c r="S13" s="1993"/>
      <c r="T13" s="1993"/>
      <c r="U13" s="1474"/>
    </row>
    <row r="14" spans="1:21" s="782" customFormat="1">
      <c r="A14" s="1457"/>
      <c r="B14" s="1457"/>
      <c r="C14" s="1457"/>
      <c r="D14" s="1474"/>
      <c r="E14" s="813" t="s">
        <v>4</v>
      </c>
      <c r="F14" s="814">
        <f>SUM(F12:F13)</f>
        <v>34000</v>
      </c>
      <c r="G14" s="322"/>
      <c r="H14" s="303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303"/>
    </row>
    <row r="15" spans="1:21" ht="56.25">
      <c r="A15" s="1437" t="s">
        <v>671</v>
      </c>
      <c r="B15" s="1440" t="s">
        <v>672</v>
      </c>
      <c r="C15" s="1437" t="s">
        <v>656</v>
      </c>
      <c r="D15" s="1440" t="s">
        <v>673</v>
      </c>
      <c r="E15" s="62" t="s">
        <v>658</v>
      </c>
      <c r="F15" s="61">
        <v>6400</v>
      </c>
      <c r="G15" s="1527" t="s">
        <v>77</v>
      </c>
      <c r="H15" s="1493" t="s">
        <v>674</v>
      </c>
      <c r="I15" s="1987"/>
      <c r="J15" s="1987"/>
      <c r="K15" s="783"/>
      <c r="L15" s="780"/>
      <c r="M15" s="1987">
        <v>5300</v>
      </c>
      <c r="N15" s="1987"/>
      <c r="O15" s="1987"/>
      <c r="P15" s="780"/>
      <c r="Q15" s="1987"/>
      <c r="R15" s="1987">
        <v>5300</v>
      </c>
      <c r="S15" s="1987"/>
      <c r="T15" s="1987"/>
      <c r="U15" s="1493" t="s">
        <v>675</v>
      </c>
    </row>
    <row r="16" spans="1:21" ht="56.25">
      <c r="A16" s="1438"/>
      <c r="B16" s="1440"/>
      <c r="C16" s="1438"/>
      <c r="D16" s="1440"/>
      <c r="E16" s="240" t="s">
        <v>661</v>
      </c>
      <c r="F16" s="61">
        <v>3200</v>
      </c>
      <c r="G16" s="1528"/>
      <c r="H16" s="1473"/>
      <c r="I16" s="1988"/>
      <c r="J16" s="1988"/>
      <c r="K16" s="765"/>
      <c r="L16" s="780"/>
      <c r="M16" s="1988"/>
      <c r="N16" s="1988"/>
      <c r="O16" s="1988"/>
      <c r="P16" s="780"/>
      <c r="Q16" s="1988"/>
      <c r="R16" s="1988"/>
      <c r="S16" s="1988"/>
      <c r="T16" s="1988"/>
      <c r="U16" s="1473"/>
    </row>
    <row r="17" spans="1:21">
      <c r="A17" s="1438"/>
      <c r="B17" s="1440"/>
      <c r="C17" s="1438"/>
      <c r="D17" s="1440"/>
      <c r="E17" s="240" t="s">
        <v>662</v>
      </c>
      <c r="F17" s="61">
        <v>1000</v>
      </c>
      <c r="G17" s="1528"/>
      <c r="H17" s="1473"/>
      <c r="I17" s="1988"/>
      <c r="J17" s="1988"/>
      <c r="K17" s="765"/>
      <c r="L17" s="780"/>
      <c r="M17" s="1988"/>
      <c r="N17" s="1988"/>
      <c r="O17" s="1988"/>
      <c r="P17" s="780"/>
      <c r="Q17" s="1988"/>
      <c r="R17" s="1988"/>
      <c r="S17" s="1988"/>
      <c r="T17" s="1988"/>
      <c r="U17" s="1473"/>
    </row>
    <row r="18" spans="1:21">
      <c r="A18" s="1438"/>
      <c r="B18" s="1440"/>
      <c r="C18" s="1438"/>
      <c r="D18" s="1440"/>
      <c r="E18" s="66" t="s">
        <v>208</v>
      </c>
      <c r="F18" s="815">
        <v>1000</v>
      </c>
      <c r="G18" s="1529"/>
      <c r="H18" s="1473"/>
      <c r="I18" s="1988"/>
      <c r="J18" s="1988"/>
      <c r="K18" s="770"/>
      <c r="L18" s="780"/>
      <c r="M18" s="1993"/>
      <c r="N18" s="1993"/>
      <c r="O18" s="1993"/>
      <c r="P18" s="780"/>
      <c r="Q18" s="1993"/>
      <c r="R18" s="1993"/>
      <c r="S18" s="1993"/>
      <c r="T18" s="1993"/>
      <c r="U18" s="1473"/>
    </row>
    <row r="19" spans="1:21">
      <c r="A19" s="1439"/>
      <c r="B19" s="1440"/>
      <c r="C19" s="1439"/>
      <c r="D19" s="1440"/>
      <c r="E19" s="812" t="s">
        <v>4</v>
      </c>
      <c r="F19" s="69">
        <f>SUM(F15:F18)</f>
        <v>11600</v>
      </c>
      <c r="G19" s="38"/>
      <c r="H19" s="38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38"/>
    </row>
    <row r="20" spans="1:21" ht="56.25">
      <c r="A20" s="2004" t="s">
        <v>676</v>
      </c>
      <c r="B20" s="2004" t="s">
        <v>677</v>
      </c>
      <c r="C20" s="2004" t="s">
        <v>678</v>
      </c>
      <c r="D20" s="2004" t="s">
        <v>679</v>
      </c>
      <c r="E20" s="952" t="s">
        <v>680</v>
      </c>
      <c r="F20" s="953">
        <v>8000</v>
      </c>
      <c r="G20" s="2007" t="s">
        <v>77</v>
      </c>
      <c r="H20" s="2009">
        <v>22303</v>
      </c>
      <c r="I20" s="954"/>
      <c r="J20" s="954"/>
      <c r="K20" s="955"/>
      <c r="L20" s="2010">
        <v>25200</v>
      </c>
      <c r="M20" s="954"/>
      <c r="N20" s="954"/>
      <c r="O20" s="954"/>
      <c r="P20" s="954"/>
      <c r="Q20" s="954"/>
      <c r="R20" s="2010"/>
      <c r="S20" s="954"/>
      <c r="T20" s="954"/>
      <c r="U20" s="2002" t="s">
        <v>660</v>
      </c>
    </row>
    <row r="21" spans="1:21" ht="56.25">
      <c r="A21" s="2005"/>
      <c r="B21" s="2005"/>
      <c r="C21" s="2005"/>
      <c r="D21" s="2005"/>
      <c r="E21" s="956" t="s">
        <v>681</v>
      </c>
      <c r="F21" s="953">
        <v>8000</v>
      </c>
      <c r="G21" s="2008"/>
      <c r="H21" s="2003"/>
      <c r="I21" s="957"/>
      <c r="J21" s="957"/>
      <c r="K21" s="958"/>
      <c r="L21" s="2011"/>
      <c r="M21" s="957"/>
      <c r="N21" s="957"/>
      <c r="O21" s="957"/>
      <c r="P21" s="957"/>
      <c r="Q21" s="957"/>
      <c r="R21" s="2011"/>
      <c r="S21" s="957"/>
      <c r="T21" s="957"/>
      <c r="U21" s="2003"/>
    </row>
    <row r="22" spans="1:21">
      <c r="A22" s="2005"/>
      <c r="B22" s="2005"/>
      <c r="C22" s="2005"/>
      <c r="D22" s="2005"/>
      <c r="E22" s="956" t="s">
        <v>682</v>
      </c>
      <c r="F22" s="953">
        <v>2400</v>
      </c>
      <c r="G22" s="2008"/>
      <c r="H22" s="2003"/>
      <c r="I22" s="957"/>
      <c r="J22" s="957"/>
      <c r="K22" s="958"/>
      <c r="L22" s="2011"/>
      <c r="M22" s="957"/>
      <c r="N22" s="957"/>
      <c r="O22" s="957"/>
      <c r="P22" s="957"/>
      <c r="Q22" s="957"/>
      <c r="R22" s="2011"/>
      <c r="S22" s="957"/>
      <c r="T22" s="957"/>
      <c r="U22" s="2003"/>
    </row>
    <row r="23" spans="1:21">
      <c r="A23" s="2005"/>
      <c r="B23" s="2005"/>
      <c r="C23" s="2005"/>
      <c r="D23" s="2005"/>
      <c r="E23" s="959" t="s">
        <v>662</v>
      </c>
      <c r="F23" s="953">
        <v>4000</v>
      </c>
      <c r="G23" s="2008"/>
      <c r="H23" s="2003"/>
      <c r="I23" s="957"/>
      <c r="J23" s="957"/>
      <c r="K23" s="958"/>
      <c r="L23" s="2011"/>
      <c r="M23" s="957"/>
      <c r="N23" s="957"/>
      <c r="O23" s="957"/>
      <c r="P23" s="957"/>
      <c r="Q23" s="957"/>
      <c r="R23" s="2011"/>
      <c r="S23" s="957"/>
      <c r="T23" s="957"/>
      <c r="U23" s="2003"/>
    </row>
    <row r="24" spans="1:21">
      <c r="A24" s="2005"/>
      <c r="B24" s="2005"/>
      <c r="C24" s="2005"/>
      <c r="D24" s="2005"/>
      <c r="E24" s="959" t="s">
        <v>208</v>
      </c>
      <c r="F24" s="953">
        <v>2000</v>
      </c>
      <c r="G24" s="960"/>
      <c r="H24" s="961"/>
      <c r="I24" s="957"/>
      <c r="J24" s="957"/>
      <c r="K24" s="962"/>
      <c r="L24" s="957"/>
      <c r="M24" s="957"/>
      <c r="N24" s="957"/>
      <c r="O24" s="957"/>
      <c r="P24" s="957"/>
      <c r="Q24" s="957"/>
      <c r="R24" s="2011"/>
      <c r="S24" s="957"/>
      <c r="T24" s="957"/>
      <c r="U24" s="2003"/>
    </row>
    <row r="25" spans="1:21">
      <c r="A25" s="2005"/>
      <c r="B25" s="2005"/>
      <c r="C25" s="2005"/>
      <c r="D25" s="2005"/>
      <c r="E25" s="963" t="s">
        <v>683</v>
      </c>
      <c r="F25" s="964">
        <v>3200</v>
      </c>
      <c r="G25" s="960"/>
      <c r="H25" s="961"/>
      <c r="I25" s="957"/>
      <c r="J25" s="957"/>
      <c r="K25" s="962"/>
      <c r="L25" s="957"/>
      <c r="M25" s="957"/>
      <c r="N25" s="957"/>
      <c r="O25" s="957"/>
      <c r="P25" s="957"/>
      <c r="Q25" s="957"/>
      <c r="R25" s="2011"/>
      <c r="S25" s="957"/>
      <c r="T25" s="957"/>
      <c r="U25" s="2003"/>
    </row>
    <row r="26" spans="1:21">
      <c r="A26" s="2006"/>
      <c r="B26" s="2006"/>
      <c r="C26" s="2006"/>
      <c r="D26" s="2006"/>
      <c r="E26" s="965" t="s">
        <v>4</v>
      </c>
      <c r="F26" s="953">
        <f>SUM(F20:F25)</f>
        <v>27600</v>
      </c>
      <c r="G26" s="963"/>
      <c r="H26" s="963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963"/>
    </row>
    <row r="27" spans="1:21" ht="48.75">
      <c r="A27" s="2051" t="s">
        <v>1457</v>
      </c>
      <c r="B27" s="2052"/>
      <c r="C27" s="2052"/>
      <c r="D27" s="2053"/>
      <c r="E27" s="75" t="s">
        <v>139</v>
      </c>
      <c r="F27" s="76">
        <f>F11+F19+F26+F14</f>
        <v>84800</v>
      </c>
      <c r="G27" s="328" t="s">
        <v>77</v>
      </c>
      <c r="H27" s="77"/>
      <c r="I27" s="779">
        <f t="shared" ref="I27:T27" si="0">SUM(I7:I26)</f>
        <v>0</v>
      </c>
      <c r="J27" s="779">
        <f t="shared" si="0"/>
        <v>17000</v>
      </c>
      <c r="K27" s="779">
        <f t="shared" si="0"/>
        <v>5800</v>
      </c>
      <c r="L27" s="779">
        <f t="shared" si="0"/>
        <v>25200</v>
      </c>
      <c r="M27" s="779">
        <f t="shared" si="0"/>
        <v>5300</v>
      </c>
      <c r="N27" s="779">
        <f t="shared" si="0"/>
        <v>0</v>
      </c>
      <c r="O27" s="779">
        <f t="shared" si="0"/>
        <v>0</v>
      </c>
      <c r="P27" s="779">
        <f t="shared" si="0"/>
        <v>5800</v>
      </c>
      <c r="Q27" s="779">
        <f t="shared" si="0"/>
        <v>17000</v>
      </c>
      <c r="R27" s="779">
        <f t="shared" si="0"/>
        <v>5300</v>
      </c>
      <c r="S27" s="779">
        <f t="shared" si="0"/>
        <v>0</v>
      </c>
      <c r="T27" s="779">
        <f t="shared" si="0"/>
        <v>0</v>
      </c>
      <c r="U27" s="66"/>
    </row>
    <row r="28" spans="1:21" s="816" customFormat="1">
      <c r="A28" s="1994" t="s">
        <v>684</v>
      </c>
      <c r="B28" s="1995"/>
      <c r="C28" s="1995"/>
      <c r="D28" s="1995"/>
      <c r="E28" s="1995"/>
      <c r="F28" s="1995"/>
      <c r="G28" s="1995"/>
      <c r="H28" s="1995"/>
      <c r="I28" s="1995"/>
      <c r="J28" s="1995"/>
      <c r="K28" s="1995"/>
      <c r="L28" s="1995"/>
      <c r="M28" s="1995"/>
      <c r="N28" s="1995"/>
      <c r="O28" s="1995"/>
      <c r="P28" s="1995"/>
      <c r="Q28" s="1995"/>
      <c r="R28" s="1995"/>
      <c r="S28" s="1995"/>
      <c r="T28" s="1996"/>
      <c r="U28" s="319"/>
    </row>
    <row r="29" spans="1:21">
      <c r="A29" s="1997" t="s">
        <v>685</v>
      </c>
      <c r="B29" s="1998"/>
      <c r="C29" s="1998"/>
      <c r="D29" s="1998"/>
      <c r="E29" s="1998"/>
      <c r="F29" s="1998"/>
      <c r="G29" s="1998"/>
      <c r="H29" s="1998"/>
      <c r="I29" s="1998"/>
      <c r="J29" s="1998"/>
      <c r="K29" s="1998"/>
      <c r="L29" s="1998"/>
      <c r="M29" s="1998"/>
      <c r="N29" s="1998"/>
      <c r="O29" s="1998"/>
      <c r="P29" s="1998"/>
      <c r="Q29" s="1998"/>
      <c r="R29" s="1998"/>
      <c r="S29" s="1998"/>
      <c r="T29" s="1999"/>
      <c r="U29" s="329"/>
    </row>
    <row r="30" spans="1:21" ht="30">
      <c r="A30" s="1456" t="s">
        <v>686</v>
      </c>
      <c r="B30" s="1826" t="s">
        <v>687</v>
      </c>
      <c r="C30" s="1456" t="s">
        <v>688</v>
      </c>
      <c r="D30" s="1438" t="s">
        <v>689</v>
      </c>
      <c r="E30" s="817" t="s">
        <v>690</v>
      </c>
      <c r="F30" s="818"/>
      <c r="G30" s="766" t="s">
        <v>691</v>
      </c>
      <c r="H30" s="1455" t="s">
        <v>692</v>
      </c>
      <c r="I30" s="773"/>
      <c r="J30" s="2000">
        <v>13840</v>
      </c>
      <c r="K30" s="773"/>
      <c r="L30" s="71"/>
      <c r="M30" s="773"/>
      <c r="N30" s="2000">
        <v>9600</v>
      </c>
      <c r="O30" s="773"/>
      <c r="P30" s="2000">
        <v>9600</v>
      </c>
      <c r="Q30" s="773"/>
      <c r="R30" s="71"/>
      <c r="S30" s="2000">
        <v>9600</v>
      </c>
      <c r="T30" s="773"/>
      <c r="U30" s="761" t="s">
        <v>693</v>
      </c>
    </row>
    <row r="31" spans="1:21" ht="37.5">
      <c r="A31" s="1456"/>
      <c r="B31" s="1827"/>
      <c r="C31" s="1456"/>
      <c r="D31" s="1438"/>
      <c r="E31" s="819" t="s">
        <v>694</v>
      </c>
      <c r="F31" s="818">
        <v>4800</v>
      </c>
      <c r="G31" s="761"/>
      <c r="H31" s="1456"/>
      <c r="I31" s="773"/>
      <c r="J31" s="2001"/>
      <c r="K31" s="773"/>
      <c r="L31" s="71"/>
      <c r="M31" s="773"/>
      <c r="N31" s="2001"/>
      <c r="O31" s="773"/>
      <c r="P31" s="2001"/>
      <c r="Q31" s="773"/>
      <c r="R31" s="71"/>
      <c r="S31" s="2001"/>
      <c r="T31" s="773"/>
      <c r="U31" s="761"/>
    </row>
    <row r="32" spans="1:21" ht="37.5">
      <c r="A32" s="1456"/>
      <c r="B32" s="1827"/>
      <c r="C32" s="1456"/>
      <c r="D32" s="1438"/>
      <c r="E32" s="819" t="s">
        <v>695</v>
      </c>
      <c r="F32" s="818">
        <v>3600</v>
      </c>
      <c r="G32" s="746"/>
      <c r="H32" s="1456"/>
      <c r="I32" s="785"/>
      <c r="J32" s="2001"/>
      <c r="K32" s="785"/>
      <c r="L32" s="71"/>
      <c r="M32" s="785"/>
      <c r="N32" s="2001"/>
      <c r="O32" s="785"/>
      <c r="P32" s="2001"/>
      <c r="Q32" s="785"/>
      <c r="R32" s="71"/>
      <c r="S32" s="2001"/>
      <c r="T32" s="785"/>
      <c r="U32" s="746"/>
    </row>
    <row r="33" spans="1:21">
      <c r="A33" s="1456"/>
      <c r="B33" s="1827"/>
      <c r="C33" s="1456"/>
      <c r="D33" s="1438"/>
      <c r="E33" s="819" t="s">
        <v>696</v>
      </c>
      <c r="F33" s="818">
        <v>3600</v>
      </c>
      <c r="G33" s="65"/>
      <c r="H33" s="1456"/>
      <c r="I33" s="765"/>
      <c r="J33" s="2001"/>
      <c r="K33" s="765"/>
      <c r="L33" s="71"/>
      <c r="M33" s="765"/>
      <c r="N33" s="2001"/>
      <c r="O33" s="765"/>
      <c r="P33" s="2001"/>
      <c r="Q33" s="765"/>
      <c r="R33" s="71"/>
      <c r="S33" s="2001"/>
      <c r="T33" s="765"/>
      <c r="U33" s="65"/>
    </row>
    <row r="34" spans="1:21" ht="56.25">
      <c r="A34" s="1456"/>
      <c r="B34" s="755"/>
      <c r="C34" s="746"/>
      <c r="D34" s="749"/>
      <c r="E34" s="817" t="s">
        <v>1455</v>
      </c>
      <c r="F34" s="818">
        <v>5040</v>
      </c>
      <c r="G34" s="65"/>
      <c r="H34" s="65"/>
      <c r="I34" s="765"/>
      <c r="J34" s="765"/>
      <c r="K34" s="765"/>
      <c r="L34" s="786"/>
      <c r="M34" s="765"/>
      <c r="N34" s="765"/>
      <c r="O34" s="765"/>
      <c r="P34" s="765"/>
      <c r="Q34" s="765"/>
      <c r="R34" s="786"/>
      <c r="S34" s="765"/>
      <c r="T34" s="765"/>
      <c r="U34" s="65"/>
    </row>
    <row r="35" spans="1:21">
      <c r="A35" s="1456"/>
      <c r="B35" s="755"/>
      <c r="C35" s="746"/>
      <c r="D35" s="749"/>
      <c r="E35" s="819" t="s">
        <v>697</v>
      </c>
      <c r="F35" s="818">
        <v>2100</v>
      </c>
      <c r="G35" s="65"/>
      <c r="H35" s="65"/>
      <c r="I35" s="765"/>
      <c r="J35" s="765"/>
      <c r="K35" s="765"/>
      <c r="L35" s="786"/>
      <c r="M35" s="765"/>
      <c r="N35" s="765"/>
      <c r="O35" s="765"/>
      <c r="P35" s="765"/>
      <c r="Q35" s="765"/>
      <c r="R35" s="786"/>
      <c r="S35" s="765"/>
      <c r="T35" s="765"/>
      <c r="U35" s="65"/>
    </row>
    <row r="36" spans="1:21">
      <c r="A36" s="1456"/>
      <c r="B36" s="755"/>
      <c r="C36" s="746"/>
      <c r="D36" s="749"/>
      <c r="E36" s="817" t="s">
        <v>698</v>
      </c>
      <c r="F36" s="818"/>
      <c r="G36" s="761"/>
      <c r="H36" s="761"/>
      <c r="I36" s="773"/>
      <c r="J36" s="773"/>
      <c r="K36" s="773"/>
      <c r="L36" s="786"/>
      <c r="M36" s="773"/>
      <c r="N36" s="773"/>
      <c r="O36" s="773"/>
      <c r="P36" s="773"/>
      <c r="Q36" s="773"/>
      <c r="R36" s="786"/>
      <c r="S36" s="773"/>
      <c r="T36" s="787"/>
      <c r="U36" s="761"/>
    </row>
    <row r="37" spans="1:21" ht="37.5">
      <c r="A37" s="1456"/>
      <c r="B37" s="755"/>
      <c r="C37" s="746"/>
      <c r="D37" s="749"/>
      <c r="E37" s="819" t="s">
        <v>699</v>
      </c>
      <c r="F37" s="818">
        <v>12800</v>
      </c>
      <c r="G37" s="72"/>
      <c r="H37" s="329"/>
      <c r="I37" s="71"/>
      <c r="J37" s="71"/>
      <c r="K37" s="71"/>
      <c r="L37" s="786"/>
      <c r="M37" s="71"/>
      <c r="N37" s="71"/>
      <c r="O37" s="71"/>
      <c r="P37" s="71"/>
      <c r="Q37" s="71"/>
      <c r="R37" s="786"/>
      <c r="S37" s="71"/>
      <c r="T37" s="788"/>
      <c r="U37" s="752"/>
    </row>
    <row r="38" spans="1:21" ht="37.5">
      <c r="A38" s="1456"/>
      <c r="B38" s="755"/>
      <c r="C38" s="746"/>
      <c r="D38" s="749"/>
      <c r="E38" s="820" t="s">
        <v>700</v>
      </c>
      <c r="F38" s="818">
        <v>6400</v>
      </c>
      <c r="G38" s="72"/>
      <c r="H38" s="329"/>
      <c r="I38" s="71"/>
      <c r="J38" s="71"/>
      <c r="K38" s="71"/>
      <c r="L38" s="786"/>
      <c r="M38" s="71"/>
      <c r="N38" s="71"/>
      <c r="O38" s="71"/>
      <c r="P38" s="71"/>
      <c r="Q38" s="71"/>
      <c r="R38" s="786"/>
      <c r="S38" s="71"/>
      <c r="T38" s="788"/>
      <c r="U38" s="752"/>
    </row>
    <row r="39" spans="1:21">
      <c r="A39" s="1456"/>
      <c r="B39" s="755"/>
      <c r="C39" s="746"/>
      <c r="D39" s="749"/>
      <c r="E39" s="820" t="s">
        <v>701</v>
      </c>
      <c r="F39" s="821">
        <v>4300</v>
      </c>
      <c r="G39" s="72"/>
      <c r="H39" s="329"/>
      <c r="I39" s="71"/>
      <c r="J39" s="71"/>
      <c r="K39" s="71"/>
      <c r="L39" s="786"/>
      <c r="M39" s="71"/>
      <c r="N39" s="71"/>
      <c r="O39" s="71"/>
      <c r="P39" s="71"/>
      <c r="Q39" s="71"/>
      <c r="R39" s="786"/>
      <c r="S39" s="71"/>
      <c r="T39" s="788"/>
      <c r="U39" s="752"/>
    </row>
    <row r="40" spans="1:21">
      <c r="A40" s="1457"/>
      <c r="B40" s="756"/>
      <c r="C40" s="239"/>
      <c r="D40" s="750"/>
      <c r="E40" s="822" t="s">
        <v>702</v>
      </c>
      <c r="F40" s="823">
        <f>SUM(F30:F39)</f>
        <v>42640</v>
      </c>
      <c r="G40" s="73"/>
      <c r="H40" s="307"/>
      <c r="I40" s="760"/>
      <c r="J40" s="760"/>
      <c r="K40" s="760"/>
      <c r="L40" s="789"/>
      <c r="M40" s="760"/>
      <c r="N40" s="760"/>
      <c r="O40" s="760"/>
      <c r="P40" s="760"/>
      <c r="Q40" s="760"/>
      <c r="R40" s="789"/>
      <c r="S40" s="760"/>
      <c r="T40" s="790"/>
      <c r="U40" s="52"/>
    </row>
    <row r="41" spans="1:21" ht="37.5">
      <c r="A41" s="1455" t="s">
        <v>703</v>
      </c>
      <c r="B41" s="1826" t="s">
        <v>704</v>
      </c>
      <c r="C41" s="1455" t="s">
        <v>705</v>
      </c>
      <c r="D41" s="1455" t="s">
        <v>706</v>
      </c>
      <c r="E41" s="824" t="s">
        <v>707</v>
      </c>
      <c r="F41" s="825">
        <v>5880</v>
      </c>
      <c r="G41" s="767" t="s">
        <v>691</v>
      </c>
      <c r="H41" s="1455" t="s">
        <v>708</v>
      </c>
      <c r="I41" s="791"/>
      <c r="J41" s="2000"/>
      <c r="K41" s="2000"/>
      <c r="L41" s="2000"/>
      <c r="M41" s="2000"/>
      <c r="N41" s="2000"/>
      <c r="O41" s="2000">
        <v>12880</v>
      </c>
      <c r="P41" s="2000"/>
      <c r="Q41" s="2000"/>
      <c r="R41" s="2000"/>
      <c r="S41" s="2000"/>
      <c r="T41" s="2000"/>
      <c r="U41" s="1493" t="s">
        <v>709</v>
      </c>
    </row>
    <row r="42" spans="1:21">
      <c r="A42" s="1456"/>
      <c r="B42" s="1827"/>
      <c r="C42" s="1456"/>
      <c r="D42" s="1456"/>
      <c r="E42" s="819" t="s">
        <v>710</v>
      </c>
      <c r="F42" s="818">
        <v>7000</v>
      </c>
      <c r="G42" s="761"/>
      <c r="H42" s="1456"/>
      <c r="I42" s="773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1473"/>
    </row>
    <row r="43" spans="1:21">
      <c r="A43" s="1456"/>
      <c r="B43" s="1827"/>
      <c r="C43" s="1456"/>
      <c r="D43" s="1456"/>
      <c r="E43" s="819"/>
      <c r="F43" s="818"/>
      <c r="G43" s="746"/>
      <c r="H43" s="1456"/>
      <c r="I43" s="785"/>
      <c r="J43" s="2001"/>
      <c r="K43" s="2001"/>
      <c r="L43" s="2001"/>
      <c r="M43" s="2001"/>
      <c r="N43" s="2001"/>
      <c r="O43" s="2001"/>
      <c r="P43" s="2001"/>
      <c r="Q43" s="2001"/>
      <c r="R43" s="2001"/>
      <c r="S43" s="2001"/>
      <c r="T43" s="2001"/>
      <c r="U43" s="746"/>
    </row>
    <row r="44" spans="1:21">
      <c r="A44" s="1457"/>
      <c r="B44" s="756"/>
      <c r="C44" s="239"/>
      <c r="D44" s="750"/>
      <c r="E44" s="822" t="s">
        <v>702</v>
      </c>
      <c r="F44" s="823">
        <f>SUM(F41:F43)</f>
        <v>12880</v>
      </c>
      <c r="G44" s="73"/>
      <c r="H44" s="307"/>
      <c r="I44" s="760"/>
      <c r="J44" s="760"/>
      <c r="K44" s="760"/>
      <c r="L44" s="789"/>
      <c r="M44" s="760"/>
      <c r="N44" s="760"/>
      <c r="O44" s="760"/>
      <c r="P44" s="760"/>
      <c r="Q44" s="760"/>
      <c r="R44" s="789"/>
      <c r="S44" s="760"/>
      <c r="T44" s="790"/>
      <c r="U44" s="52"/>
    </row>
    <row r="45" spans="1:21" ht="37.5">
      <c r="A45" s="1455" t="s">
        <v>711</v>
      </c>
      <c r="B45" s="1826" t="s">
        <v>712</v>
      </c>
      <c r="C45" s="1455" t="s">
        <v>713</v>
      </c>
      <c r="D45" s="1455" t="s">
        <v>714</v>
      </c>
      <c r="E45" s="824" t="s">
        <v>715</v>
      </c>
      <c r="F45" s="825">
        <v>25200</v>
      </c>
      <c r="G45" s="767" t="s">
        <v>691</v>
      </c>
      <c r="H45" s="1455" t="s">
        <v>716</v>
      </c>
      <c r="I45" s="791"/>
      <c r="J45" s="2000">
        <v>9228</v>
      </c>
      <c r="K45" s="2000"/>
      <c r="L45" s="2000">
        <v>9228</v>
      </c>
      <c r="M45" s="2000">
        <v>9228</v>
      </c>
      <c r="N45" s="2000">
        <v>9600</v>
      </c>
      <c r="O45" s="2000">
        <v>9600</v>
      </c>
      <c r="P45" s="2000">
        <v>9600</v>
      </c>
      <c r="Q45" s="2000">
        <v>9600</v>
      </c>
      <c r="R45" s="2000">
        <v>9600</v>
      </c>
      <c r="S45" s="2000">
        <v>9600</v>
      </c>
      <c r="T45" s="2000">
        <v>9228</v>
      </c>
      <c r="U45" s="1493" t="s">
        <v>693</v>
      </c>
    </row>
    <row r="46" spans="1:21" ht="37.5">
      <c r="A46" s="1456"/>
      <c r="B46" s="1827"/>
      <c r="C46" s="1456"/>
      <c r="D46" s="1456"/>
      <c r="E46" s="819" t="s">
        <v>717</v>
      </c>
      <c r="F46" s="818">
        <v>30000</v>
      </c>
      <c r="G46" s="761"/>
      <c r="H46" s="1456"/>
      <c r="I46" s="773"/>
      <c r="J46" s="2001"/>
      <c r="K46" s="2001"/>
      <c r="L46" s="2001"/>
      <c r="M46" s="2001"/>
      <c r="N46" s="2001"/>
      <c r="O46" s="2001"/>
      <c r="P46" s="2001"/>
      <c r="Q46" s="2001"/>
      <c r="R46" s="2001"/>
      <c r="S46" s="2001"/>
      <c r="T46" s="2001"/>
      <c r="U46" s="1473"/>
    </row>
    <row r="47" spans="1:21" ht="37.5">
      <c r="A47" s="1456"/>
      <c r="B47" s="1827"/>
      <c r="C47" s="1456"/>
      <c r="D47" s="1456"/>
      <c r="E47" s="819" t="s">
        <v>718</v>
      </c>
      <c r="F47" s="818">
        <v>15000</v>
      </c>
      <c r="G47" s="746"/>
      <c r="H47" s="1456"/>
      <c r="I47" s="785"/>
      <c r="J47" s="2001"/>
      <c r="K47" s="2001"/>
      <c r="L47" s="2001"/>
      <c r="M47" s="2001"/>
      <c r="N47" s="2001"/>
      <c r="O47" s="2001"/>
      <c r="P47" s="2001"/>
      <c r="Q47" s="2001"/>
      <c r="R47" s="2001"/>
      <c r="S47" s="2001"/>
      <c r="T47" s="2001"/>
      <c r="U47" s="746"/>
    </row>
    <row r="48" spans="1:21">
      <c r="A48" s="1456"/>
      <c r="B48" s="755"/>
      <c r="C48" s="746"/>
      <c r="D48" s="749"/>
      <c r="E48" s="819"/>
      <c r="F48" s="818"/>
      <c r="G48" s="72"/>
      <c r="H48" s="329"/>
      <c r="I48" s="71"/>
      <c r="J48" s="71"/>
      <c r="K48" s="71"/>
      <c r="L48" s="786"/>
      <c r="M48" s="71"/>
      <c r="N48" s="71"/>
      <c r="O48" s="71"/>
      <c r="P48" s="71"/>
      <c r="Q48" s="71"/>
      <c r="R48" s="786"/>
      <c r="S48" s="71"/>
      <c r="T48" s="788"/>
      <c r="U48" s="752"/>
    </row>
    <row r="49" spans="1:21">
      <c r="A49" s="1457"/>
      <c r="B49" s="756"/>
      <c r="C49" s="239"/>
      <c r="D49" s="750"/>
      <c r="E49" s="822" t="s">
        <v>702</v>
      </c>
      <c r="F49" s="823">
        <f>SUM(F45:F48)</f>
        <v>70200</v>
      </c>
      <c r="G49" s="73"/>
      <c r="H49" s="307"/>
      <c r="I49" s="760"/>
      <c r="J49" s="760"/>
      <c r="K49" s="760"/>
      <c r="L49" s="789"/>
      <c r="M49" s="760"/>
      <c r="N49" s="760"/>
      <c r="O49" s="760"/>
      <c r="P49" s="760"/>
      <c r="Q49" s="760"/>
      <c r="R49" s="789"/>
      <c r="S49" s="760"/>
      <c r="T49" s="790"/>
      <c r="U49" s="52"/>
    </row>
    <row r="50" spans="1:21">
      <c r="A50" s="750"/>
      <c r="B50" s="908"/>
      <c r="C50" s="909"/>
      <c r="D50" s="909"/>
      <c r="E50" s="910"/>
      <c r="F50" s="911"/>
      <c r="G50" s="912"/>
      <c r="H50" s="913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52"/>
    </row>
    <row r="51" spans="1:21">
      <c r="A51" s="1997" t="s">
        <v>719</v>
      </c>
      <c r="B51" s="1998"/>
      <c r="C51" s="1998"/>
      <c r="D51" s="1998"/>
      <c r="E51" s="1998"/>
      <c r="F51" s="1998"/>
      <c r="G51" s="1998"/>
      <c r="H51" s="1998"/>
      <c r="I51" s="1998"/>
      <c r="J51" s="1998"/>
      <c r="K51" s="1998"/>
      <c r="L51" s="1998"/>
      <c r="M51" s="1998"/>
      <c r="N51" s="1998"/>
      <c r="O51" s="1998"/>
      <c r="P51" s="1998"/>
      <c r="Q51" s="1998"/>
      <c r="R51" s="1998"/>
      <c r="S51" s="1998"/>
      <c r="T51" s="1998"/>
      <c r="U51" s="752"/>
    </row>
    <row r="52" spans="1:21" ht="37.5">
      <c r="A52" s="827" t="s">
        <v>720</v>
      </c>
      <c r="B52" s="762"/>
      <c r="C52" s="762"/>
      <c r="D52" s="762"/>
      <c r="E52" s="762"/>
      <c r="F52" s="828">
        <f>F53+F56</f>
        <v>2172000</v>
      </c>
      <c r="G52" s="829" t="s">
        <v>721</v>
      </c>
      <c r="H52" s="830" t="s">
        <v>722</v>
      </c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5"/>
      <c r="U52" s="752"/>
    </row>
    <row r="53" spans="1:21" ht="75">
      <c r="A53" s="1456" t="s">
        <v>723</v>
      </c>
      <c r="B53" s="238" t="s">
        <v>724</v>
      </c>
      <c r="C53" s="831" t="s">
        <v>725</v>
      </c>
      <c r="D53" s="831" t="s">
        <v>726</v>
      </c>
      <c r="E53" s="819" t="s">
        <v>727</v>
      </c>
      <c r="F53" s="832">
        <v>1392000</v>
      </c>
      <c r="G53" s="761" t="s">
        <v>691</v>
      </c>
      <c r="H53" s="833" t="s">
        <v>722</v>
      </c>
      <c r="I53" s="773"/>
      <c r="J53" s="772"/>
      <c r="K53" s="772">
        <v>100000</v>
      </c>
      <c r="L53" s="772">
        <v>250000</v>
      </c>
      <c r="M53" s="772">
        <v>400000</v>
      </c>
      <c r="N53" s="772">
        <v>200000</v>
      </c>
      <c r="O53" s="772">
        <v>100000</v>
      </c>
      <c r="P53" s="772">
        <v>200000</v>
      </c>
      <c r="Q53" s="772">
        <v>100000</v>
      </c>
      <c r="R53" s="772">
        <v>100000</v>
      </c>
      <c r="S53" s="71">
        <v>50000</v>
      </c>
      <c r="T53" s="773"/>
      <c r="U53" s="747" t="s">
        <v>693</v>
      </c>
    </row>
    <row r="54" spans="1:21">
      <c r="A54" s="1456"/>
      <c r="B54" s="755"/>
      <c r="C54" s="746"/>
      <c r="D54" s="749"/>
      <c r="E54" s="819"/>
      <c r="F54" s="818"/>
      <c r="G54" s="72"/>
      <c r="H54" s="329"/>
      <c r="I54" s="71"/>
      <c r="J54" s="71"/>
      <c r="K54" s="71"/>
      <c r="L54" s="786"/>
      <c r="M54" s="71"/>
      <c r="N54" s="71"/>
      <c r="O54" s="71"/>
      <c r="P54" s="71"/>
      <c r="Q54" s="71"/>
      <c r="R54" s="786"/>
      <c r="S54" s="71"/>
      <c r="T54" s="788"/>
      <c r="U54" s="752"/>
    </row>
    <row r="55" spans="1:21">
      <c r="A55" s="1457"/>
      <c r="B55" s="756"/>
      <c r="C55" s="239"/>
      <c r="D55" s="750"/>
      <c r="E55" s="822" t="s">
        <v>702</v>
      </c>
      <c r="F55" s="823">
        <f>SUM(F53:F54)</f>
        <v>1392000</v>
      </c>
      <c r="G55" s="73"/>
      <c r="H55" s="307"/>
      <c r="I55" s="760"/>
      <c r="J55" s="760"/>
      <c r="K55" s="760"/>
      <c r="L55" s="789"/>
      <c r="M55" s="760"/>
      <c r="N55" s="760"/>
      <c r="O55" s="760"/>
      <c r="P55" s="760"/>
      <c r="Q55" s="760"/>
      <c r="R55" s="789"/>
      <c r="S55" s="760"/>
      <c r="T55" s="790"/>
      <c r="U55" s="52"/>
    </row>
    <row r="56" spans="1:21" ht="56.25">
      <c r="A56" s="1493" t="s">
        <v>728</v>
      </c>
      <c r="B56" s="1455" t="s">
        <v>729</v>
      </c>
      <c r="C56" s="2012" t="s">
        <v>730</v>
      </c>
      <c r="D56" s="2012" t="s">
        <v>731</v>
      </c>
      <c r="E56" s="819" t="s">
        <v>732</v>
      </c>
      <c r="F56" s="832">
        <v>780000</v>
      </c>
      <c r="G56" s="761" t="s">
        <v>691</v>
      </c>
      <c r="H56" s="833" t="s">
        <v>722</v>
      </c>
      <c r="I56" s="773"/>
      <c r="J56" s="772"/>
      <c r="K56" s="772">
        <v>50000</v>
      </c>
      <c r="L56" s="772">
        <v>100000</v>
      </c>
      <c r="M56" s="772">
        <v>200000</v>
      </c>
      <c r="N56" s="772">
        <v>100000</v>
      </c>
      <c r="O56" s="772"/>
      <c r="P56" s="772">
        <v>100000</v>
      </c>
      <c r="Q56" s="772">
        <v>100000</v>
      </c>
      <c r="R56" s="772">
        <v>80000</v>
      </c>
      <c r="S56" s="71">
        <v>50000</v>
      </c>
      <c r="T56" s="773"/>
      <c r="U56" s="747" t="s">
        <v>693</v>
      </c>
    </row>
    <row r="57" spans="1:21">
      <c r="A57" s="1474"/>
      <c r="B57" s="1457"/>
      <c r="C57" s="2013"/>
      <c r="D57" s="2013"/>
      <c r="E57" s="822" t="s">
        <v>702</v>
      </c>
      <c r="F57" s="823">
        <f>SUM(F56:F56)</f>
        <v>780000</v>
      </c>
      <c r="G57" s="73"/>
      <c r="H57" s="307"/>
      <c r="I57" s="760"/>
      <c r="J57" s="760"/>
      <c r="K57" s="760"/>
      <c r="L57" s="789"/>
      <c r="M57" s="760"/>
      <c r="N57" s="760"/>
      <c r="O57" s="760"/>
      <c r="P57" s="760"/>
      <c r="Q57" s="760"/>
      <c r="R57" s="789"/>
      <c r="S57" s="760"/>
      <c r="T57" s="790"/>
      <c r="U57" s="52"/>
    </row>
    <row r="58" spans="1:21" ht="48.75">
      <c r="A58" s="1493" t="s">
        <v>733</v>
      </c>
      <c r="B58" s="1455" t="s">
        <v>734</v>
      </c>
      <c r="C58" s="2012" t="s">
        <v>735</v>
      </c>
      <c r="D58" s="2012" t="s">
        <v>736</v>
      </c>
      <c r="E58" s="819" t="s">
        <v>737</v>
      </c>
      <c r="F58" s="832"/>
      <c r="G58" s="761" t="s">
        <v>691</v>
      </c>
      <c r="H58" s="833" t="s">
        <v>722</v>
      </c>
      <c r="I58" s="773"/>
      <c r="J58" s="772"/>
      <c r="K58" s="772">
        <v>51000</v>
      </c>
      <c r="L58" s="772"/>
      <c r="M58" s="772"/>
      <c r="N58" s="772"/>
      <c r="O58" s="772"/>
      <c r="P58" s="772"/>
      <c r="Q58" s="772"/>
      <c r="R58" s="772"/>
      <c r="S58" s="71"/>
      <c r="T58" s="773"/>
      <c r="U58" s="1493" t="s">
        <v>693</v>
      </c>
    </row>
    <row r="59" spans="1:21" ht="37.5">
      <c r="A59" s="1473"/>
      <c r="B59" s="1456"/>
      <c r="C59" s="2014"/>
      <c r="D59" s="2014"/>
      <c r="E59" s="757" t="s">
        <v>738</v>
      </c>
      <c r="F59" s="809">
        <v>36000</v>
      </c>
      <c r="G59" s="834"/>
      <c r="H59" s="329"/>
      <c r="I59" s="792"/>
      <c r="J59" s="71"/>
      <c r="K59" s="71"/>
      <c r="L59" s="786"/>
      <c r="M59" s="71"/>
      <c r="N59" s="71"/>
      <c r="O59" s="71"/>
      <c r="P59" s="71"/>
      <c r="Q59" s="71"/>
      <c r="R59" s="786"/>
      <c r="S59" s="71"/>
      <c r="T59" s="788"/>
      <c r="U59" s="1473"/>
    </row>
    <row r="60" spans="1:21">
      <c r="A60" s="1473"/>
      <c r="B60" s="1456"/>
      <c r="C60" s="2014"/>
      <c r="D60" s="2014"/>
      <c r="E60" s="757" t="s">
        <v>739</v>
      </c>
      <c r="F60" s="809">
        <v>15000</v>
      </c>
      <c r="G60" s="834"/>
      <c r="H60" s="329"/>
      <c r="I60" s="792"/>
      <c r="J60" s="71"/>
      <c r="K60" s="71"/>
      <c r="L60" s="786"/>
      <c r="M60" s="71"/>
      <c r="N60" s="71"/>
      <c r="O60" s="71"/>
      <c r="P60" s="71"/>
      <c r="Q60" s="71"/>
      <c r="R60" s="786"/>
      <c r="S60" s="71"/>
      <c r="T60" s="788"/>
      <c r="U60" s="748"/>
    </row>
    <row r="61" spans="1:21">
      <c r="A61" s="1474"/>
      <c r="B61" s="1457"/>
      <c r="C61" s="2013"/>
      <c r="D61" s="2013"/>
      <c r="E61" s="822" t="s">
        <v>702</v>
      </c>
      <c r="F61" s="823">
        <f>SUM(F58:F60)</f>
        <v>51000</v>
      </c>
      <c r="G61" s="73"/>
      <c r="H61" s="307"/>
      <c r="I61" s="760"/>
      <c r="J61" s="760"/>
      <c r="K61" s="760"/>
      <c r="L61" s="789"/>
      <c r="M61" s="760"/>
      <c r="N61" s="760"/>
      <c r="O61" s="760"/>
      <c r="P61" s="760"/>
      <c r="Q61" s="760"/>
      <c r="R61" s="789"/>
      <c r="S61" s="760"/>
      <c r="T61" s="790"/>
      <c r="U61" s="52"/>
    </row>
    <row r="62" spans="1:21" ht="37.5">
      <c r="A62" s="1456" t="s">
        <v>740</v>
      </c>
      <c r="B62" s="1826" t="s">
        <v>741</v>
      </c>
      <c r="C62" s="1456" t="s">
        <v>742</v>
      </c>
      <c r="D62" s="1438" t="s">
        <v>743</v>
      </c>
      <c r="E62" s="819" t="s">
        <v>744</v>
      </c>
      <c r="F62" s="818">
        <v>7500</v>
      </c>
      <c r="G62" s="761" t="s">
        <v>691</v>
      </c>
      <c r="H62" s="2015">
        <v>22616</v>
      </c>
      <c r="I62" s="773"/>
      <c r="J62" s="2000"/>
      <c r="K62" s="2001">
        <v>39250</v>
      </c>
      <c r="L62" s="71"/>
      <c r="M62" s="773"/>
      <c r="N62" s="2000"/>
      <c r="O62" s="773"/>
      <c r="P62" s="2000"/>
      <c r="Q62" s="773"/>
      <c r="R62" s="71"/>
      <c r="S62" s="2000"/>
      <c r="T62" s="773"/>
      <c r="U62" s="773" t="s">
        <v>693</v>
      </c>
    </row>
    <row r="63" spans="1:21" ht="37.5">
      <c r="A63" s="1456"/>
      <c r="B63" s="1827"/>
      <c r="C63" s="1456"/>
      <c r="D63" s="1438"/>
      <c r="E63" s="819" t="s">
        <v>745</v>
      </c>
      <c r="F63" s="818">
        <v>4500</v>
      </c>
      <c r="G63" s="761"/>
      <c r="H63" s="1456"/>
      <c r="I63" s="773"/>
      <c r="J63" s="2001"/>
      <c r="K63" s="2001"/>
      <c r="L63" s="71"/>
      <c r="M63" s="773"/>
      <c r="N63" s="2001"/>
      <c r="O63" s="773"/>
      <c r="P63" s="2001"/>
      <c r="Q63" s="773"/>
      <c r="R63" s="71"/>
      <c r="S63" s="2001"/>
      <c r="T63" s="773"/>
      <c r="U63" s="773"/>
    </row>
    <row r="64" spans="1:21" ht="37.5">
      <c r="A64" s="1456"/>
      <c r="B64" s="1827"/>
      <c r="C64" s="1456"/>
      <c r="D64" s="1438"/>
      <c r="E64" s="819" t="s">
        <v>746</v>
      </c>
      <c r="F64" s="818">
        <v>3000</v>
      </c>
      <c r="G64" s="746"/>
      <c r="H64" s="1456"/>
      <c r="I64" s="785"/>
      <c r="J64" s="2001"/>
      <c r="K64" s="785"/>
      <c r="L64" s="71"/>
      <c r="M64" s="785"/>
      <c r="N64" s="2001"/>
      <c r="O64" s="785"/>
      <c r="P64" s="2001"/>
      <c r="Q64" s="785"/>
      <c r="R64" s="71"/>
      <c r="S64" s="2001"/>
      <c r="T64" s="785"/>
      <c r="U64" s="785"/>
    </row>
    <row r="65" spans="1:21">
      <c r="A65" s="1456"/>
      <c r="B65" s="1827"/>
      <c r="C65" s="1456"/>
      <c r="D65" s="1438"/>
      <c r="E65" s="819" t="s">
        <v>696</v>
      </c>
      <c r="F65" s="818">
        <v>1000</v>
      </c>
      <c r="G65" s="65"/>
      <c r="H65" s="1456"/>
      <c r="I65" s="765"/>
      <c r="J65" s="2001"/>
      <c r="K65" s="765"/>
      <c r="L65" s="71"/>
      <c r="M65" s="765"/>
      <c r="N65" s="2001"/>
      <c r="O65" s="765"/>
      <c r="P65" s="2001"/>
      <c r="Q65" s="765"/>
      <c r="R65" s="71"/>
      <c r="S65" s="2001"/>
      <c r="T65" s="765"/>
      <c r="U65" s="765"/>
    </row>
    <row r="66" spans="1:21">
      <c r="A66" s="1456"/>
      <c r="B66" s="755"/>
      <c r="C66" s="746"/>
      <c r="D66" s="749"/>
      <c r="E66" s="819" t="s">
        <v>697</v>
      </c>
      <c r="F66" s="818">
        <v>1000</v>
      </c>
      <c r="G66" s="65"/>
      <c r="H66" s="65"/>
      <c r="I66" s="765"/>
      <c r="J66" s="765"/>
      <c r="K66" s="765"/>
      <c r="L66" s="786"/>
      <c r="M66" s="765"/>
      <c r="N66" s="765"/>
      <c r="O66" s="765"/>
      <c r="P66" s="765"/>
      <c r="Q66" s="765"/>
      <c r="R66" s="786"/>
      <c r="S66" s="765"/>
      <c r="T66" s="765"/>
      <c r="U66" s="65"/>
    </row>
    <row r="67" spans="1:21" ht="37.5">
      <c r="A67" s="1456"/>
      <c r="B67" s="755"/>
      <c r="C67" s="746"/>
      <c r="D67" s="749"/>
      <c r="E67" s="819" t="s">
        <v>747</v>
      </c>
      <c r="F67" s="818">
        <v>11250</v>
      </c>
      <c r="G67" s="761"/>
      <c r="H67" s="761"/>
      <c r="I67" s="773"/>
      <c r="J67" s="773"/>
      <c r="K67" s="773"/>
      <c r="L67" s="786"/>
      <c r="M67" s="773"/>
      <c r="N67" s="773"/>
      <c r="O67" s="773"/>
      <c r="P67" s="773"/>
      <c r="Q67" s="773"/>
      <c r="R67" s="786"/>
      <c r="S67" s="773"/>
      <c r="T67" s="787"/>
      <c r="U67" s="761"/>
    </row>
    <row r="68" spans="1:21" ht="37.5">
      <c r="A68" s="1456"/>
      <c r="B68" s="755"/>
      <c r="C68" s="746"/>
      <c r="D68" s="749"/>
      <c r="E68" s="819" t="s">
        <v>748</v>
      </c>
      <c r="F68" s="818">
        <v>4000</v>
      </c>
      <c r="G68" s="72"/>
      <c r="H68" s="329"/>
      <c r="I68" s="71"/>
      <c r="J68" s="71"/>
      <c r="K68" s="71"/>
      <c r="L68" s="786"/>
      <c r="M68" s="71"/>
      <c r="N68" s="71"/>
      <c r="O68" s="71"/>
      <c r="P68" s="71"/>
      <c r="Q68" s="71"/>
      <c r="R68" s="786"/>
      <c r="S68" s="71"/>
      <c r="T68" s="788"/>
      <c r="U68" s="752"/>
    </row>
    <row r="69" spans="1:21" ht="31.5">
      <c r="A69" s="1456"/>
      <c r="B69" s="755"/>
      <c r="C69" s="746"/>
      <c r="D69" s="749"/>
      <c r="E69" s="835" t="s">
        <v>1450</v>
      </c>
      <c r="F69" s="818">
        <v>7000</v>
      </c>
      <c r="G69" s="72"/>
      <c r="H69" s="329"/>
      <c r="I69" s="71"/>
      <c r="J69" s="71"/>
      <c r="K69" s="71"/>
      <c r="L69" s="786"/>
      <c r="M69" s="71"/>
      <c r="N69" s="71"/>
      <c r="O69" s="71"/>
      <c r="P69" s="71"/>
      <c r="Q69" s="71"/>
      <c r="R69" s="786"/>
      <c r="S69" s="71"/>
      <c r="T69" s="788"/>
      <c r="U69" s="752"/>
    </row>
    <row r="70" spans="1:21">
      <c r="A70" s="1457"/>
      <c r="B70" s="756"/>
      <c r="C70" s="239"/>
      <c r="D70" s="750"/>
      <c r="E70" s="822" t="s">
        <v>702</v>
      </c>
      <c r="F70" s="823">
        <f>SUM(F62:F69)</f>
        <v>39250</v>
      </c>
      <c r="G70" s="73"/>
      <c r="H70" s="307"/>
      <c r="I70" s="760"/>
      <c r="J70" s="760"/>
      <c r="K70" s="760"/>
      <c r="L70" s="789"/>
      <c r="M70" s="760"/>
      <c r="N70" s="760"/>
      <c r="O70" s="760"/>
      <c r="P70" s="760"/>
      <c r="Q70" s="760"/>
      <c r="R70" s="789"/>
      <c r="S70" s="760"/>
      <c r="T70" s="790"/>
      <c r="U70" s="52"/>
    </row>
    <row r="71" spans="1:21">
      <c r="A71" s="1997" t="s">
        <v>749</v>
      </c>
      <c r="B71" s="1998"/>
      <c r="C71" s="1998"/>
      <c r="D71" s="1998"/>
      <c r="E71" s="1998"/>
      <c r="F71" s="1998"/>
      <c r="G71" s="1998"/>
      <c r="H71" s="1998"/>
      <c r="I71" s="1998"/>
      <c r="J71" s="1998"/>
      <c r="K71" s="1998"/>
      <c r="L71" s="1998"/>
      <c r="M71" s="1998"/>
      <c r="N71" s="1998"/>
      <c r="O71" s="1998"/>
      <c r="P71" s="1998"/>
      <c r="Q71" s="1998"/>
      <c r="R71" s="1998"/>
      <c r="S71" s="1998"/>
      <c r="T71" s="1999"/>
      <c r="U71" s="836"/>
    </row>
    <row r="72" spans="1:21" ht="37.5">
      <c r="A72" s="1456" t="s">
        <v>750</v>
      </c>
      <c r="B72" s="1826" t="s">
        <v>751</v>
      </c>
      <c r="C72" s="1456" t="s">
        <v>752</v>
      </c>
      <c r="D72" s="1438" t="s">
        <v>753</v>
      </c>
      <c r="E72" s="819" t="s">
        <v>754</v>
      </c>
      <c r="F72" s="818">
        <v>37500</v>
      </c>
      <c r="G72" s="761" t="s">
        <v>691</v>
      </c>
      <c r="H72" s="2015">
        <v>22647</v>
      </c>
      <c r="I72" s="773"/>
      <c r="J72" s="2000"/>
      <c r="K72" s="2001"/>
      <c r="L72" s="2001">
        <v>60500</v>
      </c>
      <c r="M72" s="773"/>
      <c r="N72" s="2000"/>
      <c r="O72" s="773"/>
      <c r="P72" s="2000"/>
      <c r="Q72" s="773"/>
      <c r="R72" s="71"/>
      <c r="S72" s="2000"/>
      <c r="T72" s="773"/>
      <c r="U72" s="773" t="s">
        <v>693</v>
      </c>
    </row>
    <row r="73" spans="1:21" ht="37.5">
      <c r="A73" s="1456"/>
      <c r="B73" s="1827"/>
      <c r="C73" s="1456"/>
      <c r="D73" s="1438"/>
      <c r="E73" s="819" t="s">
        <v>755</v>
      </c>
      <c r="F73" s="818">
        <v>15000</v>
      </c>
      <c r="G73" s="761"/>
      <c r="H73" s="1456"/>
      <c r="I73" s="773"/>
      <c r="J73" s="2001"/>
      <c r="K73" s="2001"/>
      <c r="L73" s="2001"/>
      <c r="M73" s="773"/>
      <c r="N73" s="2001"/>
      <c r="O73" s="773"/>
      <c r="P73" s="2001"/>
      <c r="Q73" s="773"/>
      <c r="R73" s="71"/>
      <c r="S73" s="2001"/>
      <c r="T73" s="773"/>
      <c r="U73" s="773"/>
    </row>
    <row r="74" spans="1:21" ht="37.5">
      <c r="A74" s="1456"/>
      <c r="B74" s="1827"/>
      <c r="C74" s="1456"/>
      <c r="D74" s="1438"/>
      <c r="E74" s="819" t="s">
        <v>756</v>
      </c>
      <c r="F74" s="818">
        <v>8000</v>
      </c>
      <c r="G74" s="746"/>
      <c r="H74" s="1456"/>
      <c r="I74" s="785"/>
      <c r="J74" s="2001"/>
      <c r="K74" s="785"/>
      <c r="L74" s="71"/>
      <c r="M74" s="785"/>
      <c r="N74" s="2001"/>
      <c r="O74" s="785"/>
      <c r="P74" s="2001"/>
      <c r="Q74" s="785"/>
      <c r="R74" s="71"/>
      <c r="S74" s="2001"/>
      <c r="T74" s="785"/>
      <c r="U74" s="785"/>
    </row>
    <row r="75" spans="1:21">
      <c r="A75" s="1457"/>
      <c r="B75" s="756"/>
      <c r="C75" s="239"/>
      <c r="D75" s="750"/>
      <c r="E75" s="822" t="s">
        <v>702</v>
      </c>
      <c r="F75" s="823">
        <f>SUM(F72:F74)</f>
        <v>60500</v>
      </c>
      <c r="G75" s="73"/>
      <c r="H75" s="307"/>
      <c r="I75" s="760"/>
      <c r="J75" s="760"/>
      <c r="K75" s="760"/>
      <c r="L75" s="789"/>
      <c r="M75" s="760"/>
      <c r="N75" s="760"/>
      <c r="O75" s="760"/>
      <c r="P75" s="760"/>
      <c r="Q75" s="760"/>
      <c r="R75" s="789"/>
      <c r="S75" s="760"/>
      <c r="T75" s="790"/>
      <c r="U75" s="52"/>
    </row>
    <row r="76" spans="1:21" ht="37.5">
      <c r="A76" s="1455" t="s">
        <v>757</v>
      </c>
      <c r="B76" s="1826" t="s">
        <v>758</v>
      </c>
      <c r="C76" s="1455" t="s">
        <v>759</v>
      </c>
      <c r="D76" s="1437" t="s">
        <v>760</v>
      </c>
      <c r="E76" s="824" t="s">
        <v>761</v>
      </c>
      <c r="F76" s="825">
        <v>4200</v>
      </c>
      <c r="G76" s="826" t="s">
        <v>691</v>
      </c>
      <c r="H76" s="2015">
        <v>22767</v>
      </c>
      <c r="I76" s="791"/>
      <c r="J76" s="2000"/>
      <c r="K76" s="2000"/>
      <c r="L76" s="1987">
        <v>19800</v>
      </c>
      <c r="M76" s="791"/>
      <c r="N76" s="2000"/>
      <c r="O76" s="791"/>
      <c r="P76" s="2000"/>
      <c r="Q76" s="791"/>
      <c r="R76" s="759"/>
      <c r="S76" s="2000"/>
      <c r="T76" s="791"/>
      <c r="U76" s="791" t="s">
        <v>693</v>
      </c>
    </row>
    <row r="77" spans="1:21" ht="37.5">
      <c r="A77" s="1456"/>
      <c r="B77" s="1827"/>
      <c r="C77" s="1456"/>
      <c r="D77" s="1438"/>
      <c r="E77" s="820" t="s">
        <v>762</v>
      </c>
      <c r="F77" s="818">
        <v>2400</v>
      </c>
      <c r="G77" s="761"/>
      <c r="H77" s="1456"/>
      <c r="I77" s="773"/>
      <c r="J77" s="2001"/>
      <c r="K77" s="2001"/>
      <c r="L77" s="1988"/>
      <c r="M77" s="773"/>
      <c r="N77" s="2001"/>
      <c r="O77" s="773"/>
      <c r="P77" s="2001"/>
      <c r="Q77" s="773"/>
      <c r="R77" s="71"/>
      <c r="S77" s="2001"/>
      <c r="T77" s="773"/>
      <c r="U77" s="773"/>
    </row>
    <row r="78" spans="1:21">
      <c r="A78" s="1456"/>
      <c r="B78" s="1827"/>
      <c r="C78" s="1456"/>
      <c r="D78" s="1438"/>
      <c r="E78" s="820" t="s">
        <v>701</v>
      </c>
      <c r="F78" s="818">
        <v>2400</v>
      </c>
      <c r="G78" s="746"/>
      <c r="H78" s="1456"/>
      <c r="I78" s="785"/>
      <c r="J78" s="2001"/>
      <c r="K78" s="785"/>
      <c r="L78" s="71"/>
      <c r="M78" s="785"/>
      <c r="N78" s="2001"/>
      <c r="O78" s="785"/>
      <c r="P78" s="2001"/>
      <c r="Q78" s="785"/>
      <c r="R78" s="71"/>
      <c r="S78" s="2001"/>
      <c r="T78" s="785"/>
      <c r="U78" s="785"/>
    </row>
    <row r="79" spans="1:21">
      <c r="A79" s="1456"/>
      <c r="B79" s="1827"/>
      <c r="C79" s="1456"/>
      <c r="D79" s="1438"/>
      <c r="E79" s="820" t="s">
        <v>763</v>
      </c>
      <c r="F79" s="818">
        <v>3000</v>
      </c>
      <c r="G79" s="746"/>
      <c r="H79" s="1456"/>
      <c r="I79" s="785"/>
      <c r="J79" s="2001"/>
      <c r="K79" s="785"/>
      <c r="L79" s="71"/>
      <c r="M79" s="785"/>
      <c r="N79" s="2001"/>
      <c r="O79" s="785"/>
      <c r="P79" s="2001"/>
      <c r="Q79" s="785"/>
      <c r="R79" s="71"/>
      <c r="S79" s="2001"/>
      <c r="T79" s="785"/>
      <c r="U79" s="785"/>
    </row>
    <row r="80" spans="1:21">
      <c r="A80" s="1456"/>
      <c r="B80" s="1827"/>
      <c r="C80" s="1456"/>
      <c r="D80" s="1438"/>
      <c r="E80" s="820" t="s">
        <v>764</v>
      </c>
      <c r="F80" s="818">
        <v>7800</v>
      </c>
      <c r="G80" s="746"/>
      <c r="H80" s="1456"/>
      <c r="I80" s="785"/>
      <c r="J80" s="2001"/>
      <c r="K80" s="785"/>
      <c r="L80" s="71"/>
      <c r="M80" s="785"/>
      <c r="N80" s="2001"/>
      <c r="O80" s="785"/>
      <c r="P80" s="2001"/>
      <c r="Q80" s="785"/>
      <c r="R80" s="71"/>
      <c r="S80" s="2001"/>
      <c r="T80" s="785"/>
      <c r="U80" s="785"/>
    </row>
    <row r="81" spans="1:21">
      <c r="A81" s="1457"/>
      <c r="B81" s="756"/>
      <c r="C81" s="239"/>
      <c r="D81" s="750"/>
      <c r="E81" s="822" t="s">
        <v>702</v>
      </c>
      <c r="F81" s="823">
        <f>SUM(F76:F80)</f>
        <v>19800</v>
      </c>
      <c r="G81" s="73"/>
      <c r="H81" s="307"/>
      <c r="I81" s="760"/>
      <c r="J81" s="760"/>
      <c r="K81" s="760"/>
      <c r="L81" s="789"/>
      <c r="M81" s="760"/>
      <c r="N81" s="760"/>
      <c r="O81" s="760"/>
      <c r="P81" s="760"/>
      <c r="Q81" s="760"/>
      <c r="R81" s="789"/>
      <c r="S81" s="760"/>
      <c r="T81" s="790"/>
      <c r="U81" s="52"/>
    </row>
    <row r="82" spans="1:21" ht="37.5">
      <c r="A82" s="1456" t="s">
        <v>765</v>
      </c>
      <c r="B82" s="1826" t="s">
        <v>766</v>
      </c>
      <c r="C82" s="1456" t="s">
        <v>759</v>
      </c>
      <c r="D82" s="1438" t="s">
        <v>767</v>
      </c>
      <c r="E82" s="819" t="s">
        <v>768</v>
      </c>
      <c r="F82" s="818">
        <v>25000</v>
      </c>
      <c r="G82" s="761" t="s">
        <v>691</v>
      </c>
      <c r="H82" s="2015">
        <v>22616</v>
      </c>
      <c r="I82" s="773"/>
      <c r="J82" s="2000"/>
      <c r="K82" s="2001">
        <v>39250</v>
      </c>
      <c r="L82" s="71"/>
      <c r="M82" s="773"/>
      <c r="N82" s="2000"/>
      <c r="O82" s="773"/>
      <c r="P82" s="2000"/>
      <c r="Q82" s="773"/>
      <c r="R82" s="71"/>
      <c r="S82" s="2000"/>
      <c r="T82" s="773"/>
      <c r="U82" s="773" t="s">
        <v>693</v>
      </c>
    </row>
    <row r="83" spans="1:21" ht="37.5">
      <c r="A83" s="1456"/>
      <c r="B83" s="1827"/>
      <c r="C83" s="1456"/>
      <c r="D83" s="1438"/>
      <c r="E83" s="819" t="s">
        <v>769</v>
      </c>
      <c r="F83" s="818">
        <v>15000</v>
      </c>
      <c r="G83" s="761"/>
      <c r="H83" s="1456"/>
      <c r="I83" s="773"/>
      <c r="J83" s="2001"/>
      <c r="K83" s="2001"/>
      <c r="L83" s="71"/>
      <c r="M83" s="773"/>
      <c r="N83" s="2001"/>
      <c r="O83" s="773"/>
      <c r="P83" s="2001"/>
      <c r="Q83" s="773"/>
      <c r="R83" s="71"/>
      <c r="S83" s="2001"/>
      <c r="T83" s="773"/>
      <c r="U83" s="773"/>
    </row>
    <row r="84" spans="1:21" ht="37.5">
      <c r="A84" s="1456"/>
      <c r="B84" s="1827"/>
      <c r="C84" s="1456"/>
      <c r="D84" s="1438"/>
      <c r="E84" s="819" t="s">
        <v>770</v>
      </c>
      <c r="F84" s="818">
        <v>10000</v>
      </c>
      <c r="G84" s="746"/>
      <c r="H84" s="1456"/>
      <c r="I84" s="785"/>
      <c r="J84" s="2001"/>
      <c r="K84" s="785"/>
      <c r="L84" s="71"/>
      <c r="M84" s="785"/>
      <c r="N84" s="2001"/>
      <c r="O84" s="785"/>
      <c r="P84" s="2001"/>
      <c r="Q84" s="785"/>
      <c r="R84" s="71"/>
      <c r="S84" s="2001"/>
      <c r="T84" s="785"/>
      <c r="U84" s="785"/>
    </row>
    <row r="85" spans="1:21">
      <c r="A85" s="1456"/>
      <c r="B85" s="1827"/>
      <c r="C85" s="1456"/>
      <c r="D85" s="1438"/>
      <c r="E85" s="819" t="s">
        <v>696</v>
      </c>
      <c r="F85" s="818">
        <v>2500</v>
      </c>
      <c r="G85" s="65"/>
      <c r="H85" s="1456"/>
      <c r="I85" s="765"/>
      <c r="J85" s="2001"/>
      <c r="K85" s="765"/>
      <c r="L85" s="71"/>
      <c r="M85" s="765"/>
      <c r="N85" s="2001"/>
      <c r="O85" s="765"/>
      <c r="P85" s="2001"/>
      <c r="Q85" s="765"/>
      <c r="R85" s="71"/>
      <c r="S85" s="2001"/>
      <c r="T85" s="765"/>
      <c r="U85" s="765"/>
    </row>
    <row r="86" spans="1:21">
      <c r="A86" s="1456"/>
      <c r="B86" s="755"/>
      <c r="C86" s="746"/>
      <c r="D86" s="749"/>
      <c r="E86" s="819" t="s">
        <v>697</v>
      </c>
      <c r="F86" s="818">
        <v>3000</v>
      </c>
      <c r="G86" s="65"/>
      <c r="H86" s="65"/>
      <c r="I86" s="765"/>
      <c r="J86" s="765"/>
      <c r="K86" s="765"/>
      <c r="L86" s="786"/>
      <c r="M86" s="765"/>
      <c r="N86" s="765"/>
      <c r="O86" s="765"/>
      <c r="P86" s="765"/>
      <c r="Q86" s="765"/>
      <c r="R86" s="786"/>
      <c r="S86" s="765"/>
      <c r="T86" s="765"/>
      <c r="U86" s="65"/>
    </row>
    <row r="87" spans="1:21" ht="37.5">
      <c r="A87" s="1456"/>
      <c r="B87" s="755"/>
      <c r="C87" s="746"/>
      <c r="D87" s="749"/>
      <c r="E87" s="819" t="s">
        <v>771</v>
      </c>
      <c r="F87" s="818">
        <v>30000</v>
      </c>
      <c r="G87" s="761"/>
      <c r="H87" s="761"/>
      <c r="I87" s="773"/>
      <c r="J87" s="773"/>
      <c r="K87" s="773"/>
      <c r="L87" s="786"/>
      <c r="M87" s="773"/>
      <c r="N87" s="773"/>
      <c r="O87" s="773"/>
      <c r="P87" s="773"/>
      <c r="Q87" s="773"/>
      <c r="R87" s="786"/>
      <c r="S87" s="773"/>
      <c r="T87" s="787"/>
      <c r="U87" s="761"/>
    </row>
    <row r="88" spans="1:21" ht="37.5">
      <c r="A88" s="1456"/>
      <c r="B88" s="755"/>
      <c r="C88" s="746"/>
      <c r="D88" s="749"/>
      <c r="E88" s="819" t="s">
        <v>772</v>
      </c>
      <c r="F88" s="818">
        <v>8000</v>
      </c>
      <c r="G88" s="72"/>
      <c r="H88" s="329"/>
      <c r="I88" s="71"/>
      <c r="J88" s="71"/>
      <c r="K88" s="71"/>
      <c r="L88" s="786"/>
      <c r="M88" s="71"/>
      <c r="N88" s="71"/>
      <c r="O88" s="71"/>
      <c r="P88" s="71"/>
      <c r="Q88" s="71"/>
      <c r="R88" s="786"/>
      <c r="S88" s="71"/>
      <c r="T88" s="788"/>
      <c r="U88" s="752"/>
    </row>
    <row r="89" spans="1:21" ht="37.5">
      <c r="A89" s="1456"/>
      <c r="B89" s="755"/>
      <c r="C89" s="746"/>
      <c r="D89" s="749"/>
      <c r="E89" s="820" t="s">
        <v>773</v>
      </c>
      <c r="F89" s="818">
        <v>36000</v>
      </c>
      <c r="G89" s="72"/>
      <c r="H89" s="329"/>
      <c r="I89" s="71"/>
      <c r="J89" s="71"/>
      <c r="K89" s="71"/>
      <c r="L89" s="786"/>
      <c r="M89" s="71"/>
      <c r="N89" s="71"/>
      <c r="O89" s="71"/>
      <c r="P89" s="71"/>
      <c r="Q89" s="71"/>
      <c r="R89" s="786"/>
      <c r="S89" s="71"/>
      <c r="T89" s="788"/>
      <c r="U89" s="752"/>
    </row>
    <row r="90" spans="1:21">
      <c r="A90" s="1456"/>
      <c r="B90" s="755"/>
      <c r="C90" s="746"/>
      <c r="D90" s="749"/>
      <c r="E90" s="820" t="s">
        <v>764</v>
      </c>
      <c r="F90" s="818">
        <v>12000</v>
      </c>
      <c r="G90" s="72"/>
      <c r="H90" s="329"/>
      <c r="I90" s="71"/>
      <c r="J90" s="71"/>
      <c r="K90" s="71"/>
      <c r="L90" s="786"/>
      <c r="M90" s="71"/>
      <c r="N90" s="71"/>
      <c r="O90" s="71"/>
      <c r="P90" s="71"/>
      <c r="Q90" s="71"/>
      <c r="R90" s="786"/>
      <c r="S90" s="71"/>
      <c r="T90" s="788"/>
      <c r="U90" s="752"/>
    </row>
    <row r="91" spans="1:21">
      <c r="A91" s="1456"/>
      <c r="B91" s="755"/>
      <c r="C91" s="746"/>
      <c r="D91" s="749"/>
      <c r="E91" s="820"/>
      <c r="F91" s="818"/>
      <c r="G91" s="72"/>
      <c r="H91" s="329"/>
      <c r="I91" s="71"/>
      <c r="J91" s="71"/>
      <c r="K91" s="71"/>
      <c r="L91" s="786"/>
      <c r="M91" s="71"/>
      <c r="N91" s="71"/>
      <c r="O91" s="71"/>
      <c r="P91" s="71"/>
      <c r="Q91" s="71"/>
      <c r="R91" s="786"/>
      <c r="S91" s="71"/>
      <c r="T91" s="788"/>
      <c r="U91" s="752"/>
    </row>
    <row r="92" spans="1:21">
      <c r="A92" s="1457"/>
      <c r="B92" s="756"/>
      <c r="C92" s="239"/>
      <c r="D92" s="750"/>
      <c r="E92" s="822" t="s">
        <v>702</v>
      </c>
      <c r="F92" s="823">
        <f>SUM(F82:F90)</f>
        <v>141500</v>
      </c>
      <c r="G92" s="73"/>
      <c r="H92" s="307"/>
      <c r="I92" s="760"/>
      <c r="J92" s="760"/>
      <c r="K92" s="760"/>
      <c r="L92" s="789"/>
      <c r="M92" s="760"/>
      <c r="N92" s="760"/>
      <c r="O92" s="760"/>
      <c r="P92" s="760"/>
      <c r="Q92" s="760"/>
      <c r="R92" s="789"/>
      <c r="S92" s="760"/>
      <c r="T92" s="790"/>
      <c r="U92" s="52"/>
    </row>
    <row r="93" spans="1:21" ht="37.5">
      <c r="A93" s="1455" t="s">
        <v>774</v>
      </c>
      <c r="B93" s="1826" t="s">
        <v>775</v>
      </c>
      <c r="C93" s="1455" t="s">
        <v>776</v>
      </c>
      <c r="D93" s="1437" t="s">
        <v>777</v>
      </c>
      <c r="E93" s="824" t="s">
        <v>778</v>
      </c>
      <c r="F93" s="825">
        <v>15000</v>
      </c>
      <c r="G93" s="826" t="s">
        <v>691</v>
      </c>
      <c r="H93" s="2015">
        <v>22828</v>
      </c>
      <c r="I93" s="791"/>
      <c r="J93" s="2000"/>
      <c r="K93" s="2000"/>
      <c r="L93" s="759"/>
      <c r="M93" s="791"/>
      <c r="N93" s="2000"/>
      <c r="O93" s="791"/>
      <c r="P93" s="2000"/>
      <c r="Q93" s="791"/>
      <c r="R93" s="1987">
        <v>143300</v>
      </c>
      <c r="S93" s="2000"/>
      <c r="T93" s="791"/>
      <c r="U93" s="791" t="s">
        <v>693</v>
      </c>
    </row>
    <row r="94" spans="1:21" ht="37.5">
      <c r="A94" s="1456"/>
      <c r="B94" s="1827"/>
      <c r="C94" s="1456"/>
      <c r="D94" s="1438"/>
      <c r="E94" s="819" t="s">
        <v>779</v>
      </c>
      <c r="F94" s="818">
        <v>7500</v>
      </c>
      <c r="G94" s="761"/>
      <c r="H94" s="1456"/>
      <c r="I94" s="773"/>
      <c r="J94" s="2001"/>
      <c r="K94" s="2001"/>
      <c r="L94" s="71"/>
      <c r="M94" s="773"/>
      <c r="N94" s="2001"/>
      <c r="O94" s="773"/>
      <c r="P94" s="2001"/>
      <c r="Q94" s="773"/>
      <c r="R94" s="1988"/>
      <c r="S94" s="2001"/>
      <c r="T94" s="773"/>
      <c r="U94" s="773"/>
    </row>
    <row r="95" spans="1:21" ht="37.5">
      <c r="A95" s="1456"/>
      <c r="B95" s="1827"/>
      <c r="C95" s="1456"/>
      <c r="D95" s="1438"/>
      <c r="E95" s="819" t="s">
        <v>780</v>
      </c>
      <c r="F95" s="818">
        <v>5000</v>
      </c>
      <c r="G95" s="746"/>
      <c r="H95" s="1456"/>
      <c r="I95" s="785"/>
      <c r="J95" s="2001"/>
      <c r="K95" s="785"/>
      <c r="L95" s="71"/>
      <c r="M95" s="785"/>
      <c r="N95" s="2001"/>
      <c r="O95" s="785"/>
      <c r="P95" s="2001"/>
      <c r="Q95" s="785"/>
      <c r="R95" s="71"/>
      <c r="S95" s="2001"/>
      <c r="T95" s="785"/>
      <c r="U95" s="785"/>
    </row>
    <row r="96" spans="1:21">
      <c r="A96" s="1456"/>
      <c r="B96" s="1827"/>
      <c r="C96" s="1456"/>
      <c r="D96" s="1438"/>
      <c r="E96" s="819" t="s">
        <v>696</v>
      </c>
      <c r="F96" s="818">
        <v>2500</v>
      </c>
      <c r="G96" s="65"/>
      <c r="H96" s="1456"/>
      <c r="I96" s="765"/>
      <c r="J96" s="2001"/>
      <c r="K96" s="765"/>
      <c r="L96" s="71"/>
      <c r="M96" s="765"/>
      <c r="N96" s="2001"/>
      <c r="O96" s="765"/>
      <c r="P96" s="2001"/>
      <c r="Q96" s="765"/>
      <c r="R96" s="71"/>
      <c r="S96" s="2001"/>
      <c r="T96" s="765"/>
      <c r="U96" s="765"/>
    </row>
    <row r="97" spans="1:21">
      <c r="A97" s="1456"/>
      <c r="B97" s="755"/>
      <c r="C97" s="746"/>
      <c r="D97" s="749"/>
      <c r="E97" s="819" t="s">
        <v>697</v>
      </c>
      <c r="F97" s="818">
        <v>3000</v>
      </c>
      <c r="G97" s="65"/>
      <c r="H97" s="65"/>
      <c r="I97" s="765"/>
      <c r="J97" s="765"/>
      <c r="K97" s="765"/>
      <c r="L97" s="786"/>
      <c r="M97" s="765"/>
      <c r="N97" s="765"/>
      <c r="O97" s="765"/>
      <c r="P97" s="765"/>
      <c r="Q97" s="765"/>
      <c r="R97" s="786"/>
      <c r="S97" s="765"/>
      <c r="T97" s="765"/>
      <c r="U97" s="65"/>
    </row>
    <row r="98" spans="1:21" ht="37.5">
      <c r="A98" s="1456"/>
      <c r="B98" s="755"/>
      <c r="C98" s="746"/>
      <c r="D98" s="749"/>
      <c r="E98" s="819" t="s">
        <v>781</v>
      </c>
      <c r="F98" s="818">
        <v>10000</v>
      </c>
      <c r="G98" s="72"/>
      <c r="H98" s="329"/>
      <c r="I98" s="71"/>
      <c r="J98" s="71"/>
      <c r="K98" s="71"/>
      <c r="L98" s="786"/>
      <c r="M98" s="71"/>
      <c r="N98" s="71"/>
      <c r="O98" s="71"/>
      <c r="P98" s="71"/>
      <c r="Q98" s="71"/>
      <c r="R98" s="786"/>
      <c r="S98" s="71"/>
      <c r="T98" s="788"/>
      <c r="U98" s="752"/>
    </row>
    <row r="99" spans="1:21">
      <c r="A99" s="1456"/>
      <c r="B99" s="755"/>
      <c r="C99" s="746"/>
      <c r="D99" s="749"/>
      <c r="E99" s="820" t="s">
        <v>764</v>
      </c>
      <c r="F99" s="818">
        <v>7200</v>
      </c>
      <c r="G99" s="72"/>
      <c r="H99" s="329"/>
      <c r="I99" s="71"/>
      <c r="J99" s="71"/>
      <c r="K99" s="71"/>
      <c r="L99" s="786"/>
      <c r="M99" s="71"/>
      <c r="N99" s="71"/>
      <c r="O99" s="71"/>
      <c r="P99" s="71"/>
      <c r="Q99" s="71"/>
      <c r="R99" s="786"/>
      <c r="S99" s="71"/>
      <c r="T99" s="788"/>
      <c r="U99" s="752"/>
    </row>
    <row r="100" spans="1:21" ht="37.5">
      <c r="A100" s="1456"/>
      <c r="B100" s="755"/>
      <c r="C100" s="746"/>
      <c r="D100" s="749"/>
      <c r="E100" s="820" t="s">
        <v>782</v>
      </c>
      <c r="F100" s="818">
        <v>50700</v>
      </c>
      <c r="G100" s="72"/>
      <c r="H100" s="329"/>
      <c r="I100" s="71"/>
      <c r="J100" s="71"/>
      <c r="K100" s="71"/>
      <c r="L100" s="786"/>
      <c r="M100" s="71"/>
      <c r="N100" s="71"/>
      <c r="O100" s="71"/>
      <c r="P100" s="71"/>
      <c r="Q100" s="71"/>
      <c r="R100" s="786"/>
      <c r="S100" s="71"/>
      <c r="T100" s="788"/>
      <c r="U100" s="752"/>
    </row>
    <row r="101" spans="1:21" ht="56.25">
      <c r="A101" s="319"/>
      <c r="B101" s="754"/>
      <c r="C101" s="238"/>
      <c r="D101" s="241"/>
      <c r="E101" s="837" t="s">
        <v>783</v>
      </c>
      <c r="F101" s="825">
        <v>28000</v>
      </c>
      <c r="G101" s="70"/>
      <c r="H101" s="319"/>
      <c r="I101" s="759"/>
      <c r="J101" s="759"/>
      <c r="K101" s="759"/>
      <c r="L101" s="793"/>
      <c r="M101" s="759"/>
      <c r="N101" s="759"/>
      <c r="O101" s="759"/>
      <c r="P101" s="759"/>
      <c r="Q101" s="759"/>
      <c r="R101" s="793"/>
      <c r="S101" s="759"/>
      <c r="T101" s="794"/>
      <c r="U101" s="751"/>
    </row>
    <row r="102" spans="1:21" ht="37.5">
      <c r="A102" s="329"/>
      <c r="B102" s="755"/>
      <c r="C102" s="746"/>
      <c r="D102" s="749"/>
      <c r="E102" s="820" t="s">
        <v>784</v>
      </c>
      <c r="F102" s="818">
        <v>12000</v>
      </c>
      <c r="G102" s="72"/>
      <c r="H102" s="329"/>
      <c r="I102" s="71"/>
      <c r="J102" s="71"/>
      <c r="K102" s="71"/>
      <c r="L102" s="786"/>
      <c r="M102" s="71"/>
      <c r="N102" s="71"/>
      <c r="O102" s="71"/>
      <c r="P102" s="71"/>
      <c r="Q102" s="71"/>
      <c r="R102" s="786"/>
      <c r="S102" s="71"/>
      <c r="T102" s="788"/>
      <c r="U102" s="752"/>
    </row>
    <row r="103" spans="1:21" ht="56.25">
      <c r="A103" s="329"/>
      <c r="B103" s="755"/>
      <c r="C103" s="746"/>
      <c r="D103" s="749"/>
      <c r="E103" s="820" t="s">
        <v>785</v>
      </c>
      <c r="F103" s="818">
        <v>2400</v>
      </c>
      <c r="G103" s="72"/>
      <c r="H103" s="329"/>
      <c r="I103" s="71"/>
      <c r="J103" s="71"/>
      <c r="K103" s="71"/>
      <c r="L103" s="786"/>
      <c r="M103" s="71"/>
      <c r="N103" s="71"/>
      <c r="O103" s="71"/>
      <c r="P103" s="71"/>
      <c r="Q103" s="71"/>
      <c r="R103" s="786"/>
      <c r="S103" s="71"/>
      <c r="T103" s="788"/>
      <c r="U103" s="752"/>
    </row>
    <row r="104" spans="1:21">
      <c r="A104" s="307"/>
      <c r="B104" s="756"/>
      <c r="C104" s="239"/>
      <c r="D104" s="750"/>
      <c r="E104" s="822" t="s">
        <v>702</v>
      </c>
      <c r="F104" s="823">
        <f>SUM(F93:F103)</f>
        <v>143300</v>
      </c>
      <c r="G104" s="73"/>
      <c r="H104" s="307"/>
      <c r="I104" s="760"/>
      <c r="J104" s="760"/>
      <c r="K104" s="760"/>
      <c r="L104" s="789"/>
      <c r="M104" s="760"/>
      <c r="N104" s="760"/>
      <c r="O104" s="760"/>
      <c r="P104" s="760"/>
      <c r="Q104" s="760"/>
      <c r="R104" s="789"/>
      <c r="S104" s="760"/>
      <c r="T104" s="790"/>
      <c r="U104" s="52"/>
    </row>
    <row r="105" spans="1:21">
      <c r="A105" s="2016" t="s">
        <v>786</v>
      </c>
      <c r="B105" s="2017"/>
      <c r="C105" s="2017"/>
      <c r="D105" s="2017"/>
      <c r="E105" s="2017"/>
      <c r="F105" s="2017"/>
      <c r="G105" s="2017"/>
      <c r="H105" s="2017"/>
      <c r="I105" s="2017"/>
      <c r="J105" s="2017"/>
      <c r="K105" s="2017"/>
      <c r="L105" s="2017"/>
      <c r="M105" s="2017"/>
      <c r="N105" s="2017"/>
      <c r="O105" s="2017"/>
      <c r="P105" s="2017"/>
      <c r="Q105" s="2017"/>
      <c r="R105" s="2017"/>
      <c r="S105" s="2017"/>
      <c r="T105" s="2017"/>
      <c r="U105" s="836"/>
    </row>
    <row r="106" spans="1:21" ht="75">
      <c r="A106" s="1455" t="s">
        <v>787</v>
      </c>
      <c r="B106" s="238" t="s">
        <v>788</v>
      </c>
      <c r="C106" s="831" t="s">
        <v>789</v>
      </c>
      <c r="D106" s="831" t="s">
        <v>790</v>
      </c>
      <c r="E106" s="824" t="s">
        <v>791</v>
      </c>
      <c r="F106" s="838">
        <v>300480</v>
      </c>
      <c r="G106" s="826" t="s">
        <v>691</v>
      </c>
      <c r="H106" s="833" t="s">
        <v>722</v>
      </c>
      <c r="I106" s="791"/>
      <c r="J106" s="776"/>
      <c r="K106" s="776">
        <v>50000</v>
      </c>
      <c r="L106" s="776">
        <v>50000</v>
      </c>
      <c r="M106" s="776">
        <v>50000</v>
      </c>
      <c r="N106" s="776">
        <v>100000</v>
      </c>
      <c r="O106" s="776">
        <v>30000</v>
      </c>
      <c r="P106" s="776">
        <v>20480</v>
      </c>
      <c r="Q106" s="776"/>
      <c r="R106" s="776"/>
      <c r="S106" s="759"/>
      <c r="T106" s="791"/>
      <c r="U106" s="747" t="s">
        <v>693</v>
      </c>
    </row>
    <row r="107" spans="1:21">
      <c r="A107" s="1457"/>
      <c r="B107" s="756"/>
      <c r="C107" s="239"/>
      <c r="D107" s="750"/>
      <c r="E107" s="822" t="s">
        <v>702</v>
      </c>
      <c r="F107" s="823">
        <f>SUM(F106:F106)</f>
        <v>300480</v>
      </c>
      <c r="G107" s="73"/>
      <c r="H107" s="307"/>
      <c r="I107" s="760"/>
      <c r="J107" s="760"/>
      <c r="K107" s="760"/>
      <c r="L107" s="789"/>
      <c r="M107" s="760"/>
      <c r="N107" s="760"/>
      <c r="O107" s="760"/>
      <c r="P107" s="760"/>
      <c r="Q107" s="760"/>
      <c r="R107" s="789"/>
      <c r="S107" s="760"/>
      <c r="T107" s="790"/>
      <c r="U107" s="52"/>
    </row>
    <row r="108" spans="1:21" ht="93.75">
      <c r="A108" s="240" t="s">
        <v>792</v>
      </c>
      <c r="B108" s="240" t="s">
        <v>793</v>
      </c>
      <c r="C108" s="839" t="s">
        <v>794</v>
      </c>
      <c r="D108" s="839" t="s">
        <v>790</v>
      </c>
      <c r="E108" s="840"/>
      <c r="F108" s="841"/>
      <c r="G108" s="842"/>
      <c r="H108" s="830" t="s">
        <v>722</v>
      </c>
      <c r="I108" s="795"/>
      <c r="J108" s="796"/>
      <c r="K108" s="796"/>
      <c r="L108" s="796"/>
      <c r="M108" s="796"/>
      <c r="N108" s="796"/>
      <c r="O108" s="796"/>
      <c r="P108" s="796"/>
      <c r="Q108" s="796"/>
      <c r="R108" s="796"/>
      <c r="S108" s="763"/>
      <c r="T108" s="795"/>
      <c r="U108" s="303" t="s">
        <v>693</v>
      </c>
    </row>
    <row r="109" spans="1:21">
      <c r="A109" s="1997" t="s">
        <v>795</v>
      </c>
      <c r="B109" s="1998"/>
      <c r="C109" s="1998"/>
      <c r="D109" s="1998"/>
      <c r="E109" s="1998"/>
      <c r="F109" s="1998"/>
      <c r="G109" s="1998"/>
      <c r="H109" s="1998"/>
      <c r="I109" s="1998"/>
      <c r="J109" s="1998"/>
      <c r="K109" s="1998"/>
      <c r="L109" s="1998"/>
      <c r="M109" s="1998"/>
      <c r="N109" s="1998"/>
      <c r="O109" s="1998"/>
      <c r="P109" s="1998"/>
      <c r="Q109" s="1998"/>
      <c r="R109" s="1998"/>
      <c r="S109" s="1998"/>
      <c r="T109" s="1998"/>
      <c r="U109" s="836"/>
    </row>
    <row r="110" spans="1:21" ht="37.5">
      <c r="A110" s="1455" t="s">
        <v>796</v>
      </c>
      <c r="B110" s="1826" t="s">
        <v>766</v>
      </c>
      <c r="C110" s="1456" t="s">
        <v>759</v>
      </c>
      <c r="D110" s="1438" t="s">
        <v>797</v>
      </c>
      <c r="E110" s="819" t="s">
        <v>768</v>
      </c>
      <c r="F110" s="818">
        <v>25000</v>
      </c>
      <c r="G110" s="761" t="s">
        <v>691</v>
      </c>
      <c r="H110" s="2015">
        <v>22586</v>
      </c>
      <c r="I110" s="773"/>
      <c r="J110" s="2000">
        <v>94500</v>
      </c>
      <c r="K110" s="2001"/>
      <c r="L110" s="71"/>
      <c r="M110" s="773"/>
      <c r="N110" s="2000"/>
      <c r="O110" s="773"/>
      <c r="P110" s="2000"/>
      <c r="Q110" s="773"/>
      <c r="R110" s="71"/>
      <c r="S110" s="2000"/>
      <c r="T110" s="773"/>
      <c r="U110" s="843" t="s">
        <v>709</v>
      </c>
    </row>
    <row r="111" spans="1:21" ht="37.5">
      <c r="A111" s="1456"/>
      <c r="B111" s="1827"/>
      <c r="C111" s="1456"/>
      <c r="D111" s="1438"/>
      <c r="E111" s="819" t="s">
        <v>769</v>
      </c>
      <c r="F111" s="818">
        <v>15000</v>
      </c>
      <c r="G111" s="761"/>
      <c r="H111" s="1456"/>
      <c r="I111" s="773"/>
      <c r="J111" s="2001"/>
      <c r="K111" s="2001"/>
      <c r="L111" s="71"/>
      <c r="M111" s="773"/>
      <c r="N111" s="2001"/>
      <c r="O111" s="773"/>
      <c r="P111" s="2001"/>
      <c r="Q111" s="773"/>
      <c r="R111" s="71"/>
      <c r="S111" s="2001"/>
      <c r="T111" s="773"/>
      <c r="U111" s="773"/>
    </row>
    <row r="112" spans="1:21" ht="37.5">
      <c r="A112" s="1456"/>
      <c r="B112" s="1827"/>
      <c r="C112" s="1456"/>
      <c r="D112" s="1438"/>
      <c r="E112" s="819" t="s">
        <v>770</v>
      </c>
      <c r="F112" s="818">
        <v>10000</v>
      </c>
      <c r="G112" s="746"/>
      <c r="H112" s="1456"/>
      <c r="I112" s="785"/>
      <c r="J112" s="2001"/>
      <c r="K112" s="785"/>
      <c r="L112" s="71"/>
      <c r="M112" s="785"/>
      <c r="N112" s="2001"/>
      <c r="O112" s="785"/>
      <c r="P112" s="2001"/>
      <c r="Q112" s="785"/>
      <c r="R112" s="71"/>
      <c r="S112" s="2001"/>
      <c r="T112" s="785"/>
      <c r="U112" s="785"/>
    </row>
    <row r="113" spans="1:21">
      <c r="A113" s="1456"/>
      <c r="B113" s="1827"/>
      <c r="C113" s="1456"/>
      <c r="D113" s="1438"/>
      <c r="E113" s="819" t="s">
        <v>696</v>
      </c>
      <c r="F113" s="818">
        <v>2500</v>
      </c>
      <c r="G113" s="65"/>
      <c r="H113" s="1456"/>
      <c r="I113" s="765"/>
      <c r="J113" s="2001"/>
      <c r="K113" s="765"/>
      <c r="L113" s="71"/>
      <c r="M113" s="765"/>
      <c r="N113" s="2001"/>
      <c r="O113" s="765"/>
      <c r="P113" s="2001"/>
      <c r="Q113" s="765"/>
      <c r="R113" s="71"/>
      <c r="S113" s="2001"/>
      <c r="T113" s="765"/>
      <c r="U113" s="765"/>
    </row>
    <row r="114" spans="1:21">
      <c r="A114" s="1457"/>
      <c r="B114" s="756"/>
      <c r="C114" s="239"/>
      <c r="D114" s="750"/>
      <c r="E114" s="844" t="s">
        <v>697</v>
      </c>
      <c r="F114" s="845">
        <v>3000</v>
      </c>
      <c r="G114" s="764"/>
      <c r="H114" s="764"/>
      <c r="I114" s="770"/>
      <c r="J114" s="770"/>
      <c r="K114" s="770"/>
      <c r="L114" s="789"/>
      <c r="M114" s="770"/>
      <c r="N114" s="770"/>
      <c r="O114" s="770"/>
      <c r="P114" s="770"/>
      <c r="Q114" s="770"/>
      <c r="R114" s="789"/>
      <c r="S114" s="770"/>
      <c r="T114" s="770"/>
      <c r="U114" s="764"/>
    </row>
    <row r="115" spans="1:21" ht="37.5">
      <c r="A115" s="319"/>
      <c r="B115" s="754"/>
      <c r="C115" s="238"/>
      <c r="D115" s="241"/>
      <c r="E115" s="824" t="s">
        <v>781</v>
      </c>
      <c r="F115" s="825">
        <v>10000</v>
      </c>
      <c r="G115" s="70"/>
      <c r="H115" s="319"/>
      <c r="I115" s="759"/>
      <c r="J115" s="759"/>
      <c r="K115" s="759"/>
      <c r="L115" s="793"/>
      <c r="M115" s="759"/>
      <c r="N115" s="759"/>
      <c r="O115" s="759"/>
      <c r="P115" s="759"/>
      <c r="Q115" s="759"/>
      <c r="R115" s="793"/>
      <c r="S115" s="759"/>
      <c r="T115" s="794"/>
      <c r="U115" s="751"/>
    </row>
    <row r="116" spans="1:21">
      <c r="A116" s="329"/>
      <c r="B116" s="755"/>
      <c r="C116" s="746"/>
      <c r="D116" s="749"/>
      <c r="E116" s="820" t="s">
        <v>764</v>
      </c>
      <c r="F116" s="818">
        <v>20400</v>
      </c>
      <c r="G116" s="72"/>
      <c r="H116" s="329"/>
      <c r="I116" s="71"/>
      <c r="J116" s="71"/>
      <c r="K116" s="71"/>
      <c r="L116" s="786"/>
      <c r="M116" s="71"/>
      <c r="N116" s="71"/>
      <c r="O116" s="71"/>
      <c r="P116" s="71"/>
      <c r="Q116" s="71"/>
      <c r="R116" s="786"/>
      <c r="S116" s="71"/>
      <c r="T116" s="788"/>
      <c r="U116" s="752"/>
    </row>
    <row r="117" spans="1:21" ht="37.5">
      <c r="A117" s="329"/>
      <c r="B117" s="755"/>
      <c r="C117" s="746"/>
      <c r="D117" s="749"/>
      <c r="E117" s="820" t="s">
        <v>798</v>
      </c>
      <c r="F117" s="818">
        <v>3600</v>
      </c>
      <c r="G117" s="72"/>
      <c r="H117" s="329"/>
      <c r="I117" s="71"/>
      <c r="J117" s="71"/>
      <c r="K117" s="71"/>
      <c r="L117" s="786"/>
      <c r="M117" s="71"/>
      <c r="N117" s="71"/>
      <c r="O117" s="71"/>
      <c r="P117" s="71"/>
      <c r="Q117" s="71"/>
      <c r="R117" s="786"/>
      <c r="S117" s="71"/>
      <c r="T117" s="788"/>
      <c r="U117" s="752"/>
    </row>
    <row r="118" spans="1:21">
      <c r="A118" s="329"/>
      <c r="B118" s="755"/>
      <c r="C118" s="746"/>
      <c r="D118" s="749"/>
      <c r="E118" s="820" t="s">
        <v>799</v>
      </c>
      <c r="F118" s="818">
        <v>5000</v>
      </c>
      <c r="G118" s="72"/>
      <c r="H118" s="329"/>
      <c r="I118" s="71"/>
      <c r="J118" s="71"/>
      <c r="K118" s="71"/>
      <c r="L118" s="786"/>
      <c r="M118" s="71"/>
      <c r="N118" s="71"/>
      <c r="O118" s="71"/>
      <c r="P118" s="71"/>
      <c r="Q118" s="71"/>
      <c r="R118" s="786"/>
      <c r="S118" s="71"/>
      <c r="T118" s="788"/>
      <c r="U118" s="752"/>
    </row>
    <row r="119" spans="1:21">
      <c r="A119" s="307"/>
      <c r="B119" s="756"/>
      <c r="C119" s="239"/>
      <c r="D119" s="750"/>
      <c r="E119" s="822" t="s">
        <v>702</v>
      </c>
      <c r="F119" s="823">
        <f>SUM(F110:F118)</f>
        <v>94500</v>
      </c>
      <c r="G119" s="73"/>
      <c r="H119" s="307"/>
      <c r="I119" s="760"/>
      <c r="J119" s="760"/>
      <c r="K119" s="760"/>
      <c r="L119" s="789"/>
      <c r="M119" s="760"/>
      <c r="N119" s="760"/>
      <c r="O119" s="760"/>
      <c r="P119" s="760"/>
      <c r="Q119" s="760"/>
      <c r="R119" s="789"/>
      <c r="S119" s="760"/>
      <c r="T119" s="790"/>
      <c r="U119" s="52"/>
    </row>
    <row r="120" spans="1:21" ht="75">
      <c r="A120" s="1455" t="s">
        <v>800</v>
      </c>
      <c r="B120" s="238" t="s">
        <v>801</v>
      </c>
      <c r="C120" s="831" t="s">
        <v>802</v>
      </c>
      <c r="D120" s="831" t="s">
        <v>803</v>
      </c>
      <c r="E120" s="824" t="s">
        <v>804</v>
      </c>
      <c r="F120" s="838">
        <v>60000</v>
      </c>
      <c r="G120" s="826"/>
      <c r="H120" s="833" t="s">
        <v>722</v>
      </c>
      <c r="I120" s="791"/>
      <c r="J120" s="776"/>
      <c r="K120" s="776"/>
      <c r="L120" s="776"/>
      <c r="M120" s="776"/>
      <c r="N120" s="776"/>
      <c r="O120" s="776"/>
      <c r="P120" s="776"/>
      <c r="Q120" s="776"/>
      <c r="R120" s="776"/>
      <c r="S120" s="759"/>
      <c r="T120" s="791"/>
      <c r="U120" s="747" t="s">
        <v>805</v>
      </c>
    </row>
    <row r="121" spans="1:21">
      <c r="A121" s="1456"/>
      <c r="B121" s="746"/>
      <c r="C121" s="846"/>
      <c r="D121" s="847"/>
      <c r="E121" s="817" t="s">
        <v>806</v>
      </c>
      <c r="F121" s="832"/>
      <c r="G121" s="761"/>
      <c r="H121" s="753"/>
      <c r="I121" s="773"/>
      <c r="J121" s="772"/>
      <c r="K121" s="772"/>
      <c r="L121" s="797"/>
      <c r="M121" s="772"/>
      <c r="N121" s="772"/>
      <c r="O121" s="772"/>
      <c r="P121" s="772"/>
      <c r="Q121" s="772"/>
      <c r="R121" s="797"/>
      <c r="S121" s="71"/>
      <c r="T121" s="787"/>
      <c r="U121" s="748"/>
    </row>
    <row r="122" spans="1:21" ht="75">
      <c r="A122" s="1456"/>
      <c r="B122" s="746"/>
      <c r="C122" s="846"/>
      <c r="D122" s="847"/>
      <c r="E122" s="817" t="s">
        <v>1456</v>
      </c>
      <c r="F122" s="832">
        <v>12600</v>
      </c>
      <c r="G122" s="761"/>
      <c r="H122" s="753"/>
      <c r="I122" s="773"/>
      <c r="J122" s="772"/>
      <c r="K122" s="772"/>
      <c r="L122" s="797"/>
      <c r="M122" s="772"/>
      <c r="N122" s="772"/>
      <c r="O122" s="772"/>
      <c r="P122" s="772"/>
      <c r="Q122" s="772"/>
      <c r="R122" s="797"/>
      <c r="S122" s="71"/>
      <c r="T122" s="787"/>
      <c r="U122" s="748"/>
    </row>
    <row r="123" spans="1:21">
      <c r="A123" s="1457"/>
      <c r="B123" s="756"/>
      <c r="C123" s="239"/>
      <c r="D123" s="750"/>
      <c r="E123" s="848" t="s">
        <v>702</v>
      </c>
      <c r="F123" s="849">
        <f>SUM(F120:F122)</f>
        <v>72600</v>
      </c>
      <c r="G123" s="73"/>
      <c r="H123" s="307"/>
      <c r="I123" s="760"/>
      <c r="J123" s="760"/>
      <c r="K123" s="760"/>
      <c r="L123" s="789"/>
      <c r="M123" s="760"/>
      <c r="N123" s="760"/>
      <c r="O123" s="760"/>
      <c r="P123" s="760"/>
      <c r="Q123" s="760"/>
      <c r="R123" s="789"/>
      <c r="S123" s="760"/>
      <c r="T123" s="790"/>
      <c r="U123" s="52"/>
    </row>
    <row r="124" spans="1:21" ht="93.75">
      <c r="A124" s="850" t="s">
        <v>807</v>
      </c>
      <c r="B124" s="67" t="s">
        <v>808</v>
      </c>
      <c r="C124" s="851" t="s">
        <v>802</v>
      </c>
      <c r="D124" s="67" t="s">
        <v>803</v>
      </c>
      <c r="E124" s="840"/>
      <c r="F124" s="841"/>
      <c r="G124" s="842"/>
      <c r="H124" s="830" t="s">
        <v>722</v>
      </c>
      <c r="I124" s="795"/>
      <c r="J124" s="796"/>
      <c r="K124" s="796"/>
      <c r="L124" s="796"/>
      <c r="M124" s="796"/>
      <c r="N124" s="796"/>
      <c r="O124" s="796"/>
      <c r="P124" s="796"/>
      <c r="Q124" s="796"/>
      <c r="R124" s="796"/>
      <c r="S124" s="763"/>
      <c r="T124" s="795"/>
      <c r="U124" s="303" t="s">
        <v>809</v>
      </c>
    </row>
    <row r="125" spans="1:21">
      <c r="A125" s="2018" t="s">
        <v>810</v>
      </c>
      <c r="B125" s="2018"/>
      <c r="C125" s="2018"/>
      <c r="D125" s="2018"/>
      <c r="E125" s="2018"/>
      <c r="F125" s="2019">
        <f>F123+F119+F107+F104+F92+F81+F75+F70+F61+F57+F52+F49+F44+F40</f>
        <v>4000650</v>
      </c>
      <c r="G125" s="2019"/>
      <c r="H125" s="2019"/>
      <c r="I125" s="798"/>
      <c r="J125" s="799"/>
      <c r="K125" s="799"/>
      <c r="L125" s="799"/>
      <c r="M125" s="799"/>
      <c r="N125" s="799"/>
      <c r="O125" s="799"/>
      <c r="P125" s="799"/>
      <c r="Q125" s="799"/>
      <c r="R125" s="799"/>
      <c r="S125" s="799"/>
      <c r="T125" s="799"/>
      <c r="U125" s="852"/>
    </row>
    <row r="126" spans="1:21" s="816" customFormat="1">
      <c r="A126" s="1994" t="s">
        <v>811</v>
      </c>
      <c r="B126" s="1995"/>
      <c r="C126" s="1995"/>
      <c r="D126" s="1995"/>
      <c r="E126" s="1995"/>
      <c r="F126" s="1995"/>
      <c r="G126" s="1995"/>
      <c r="H126" s="1995"/>
      <c r="I126" s="1995"/>
      <c r="J126" s="1995"/>
      <c r="K126" s="1995"/>
      <c r="L126" s="1995"/>
      <c r="M126" s="1995"/>
      <c r="N126" s="1995"/>
      <c r="O126" s="1995"/>
      <c r="P126" s="1995"/>
      <c r="Q126" s="1995"/>
      <c r="R126" s="1995"/>
      <c r="S126" s="1995"/>
      <c r="T126" s="1996"/>
      <c r="U126" s="319"/>
    </row>
    <row r="127" spans="1:21">
      <c r="A127" s="1997" t="s">
        <v>812</v>
      </c>
      <c r="B127" s="1998"/>
      <c r="C127" s="1998"/>
      <c r="D127" s="1998"/>
      <c r="E127" s="1998"/>
      <c r="F127" s="1998"/>
      <c r="G127" s="1998"/>
      <c r="H127" s="1998"/>
      <c r="I127" s="1998"/>
      <c r="J127" s="1998"/>
      <c r="K127" s="1998"/>
      <c r="L127" s="1998"/>
      <c r="M127" s="1998"/>
      <c r="N127" s="1998"/>
      <c r="O127" s="1998"/>
      <c r="P127" s="1998"/>
      <c r="Q127" s="1998"/>
      <c r="R127" s="1998"/>
      <c r="S127" s="1998"/>
      <c r="T127" s="1999"/>
      <c r="U127" s="329"/>
    </row>
    <row r="128" spans="1:21" ht="37.5">
      <c r="A128" s="2023" t="s">
        <v>813</v>
      </c>
      <c r="B128" s="2023" t="s">
        <v>814</v>
      </c>
      <c r="C128" s="2023" t="s">
        <v>815</v>
      </c>
      <c r="D128" s="2026" t="s">
        <v>816</v>
      </c>
      <c r="E128" s="966" t="s">
        <v>817</v>
      </c>
      <c r="F128" s="967">
        <v>9000</v>
      </c>
      <c r="G128" s="968" t="s">
        <v>77</v>
      </c>
      <c r="H128" s="2023" t="s">
        <v>818</v>
      </c>
      <c r="I128" s="968"/>
      <c r="J128" s="2021">
        <v>51000</v>
      </c>
      <c r="K128" s="968"/>
      <c r="L128" s="969"/>
      <c r="M128" s="968"/>
      <c r="N128" s="2021"/>
      <c r="O128" s="968"/>
      <c r="P128" s="2021"/>
      <c r="Q128" s="968"/>
      <c r="R128" s="969"/>
      <c r="S128" s="2021"/>
      <c r="T128" s="968"/>
      <c r="U128" s="2005" t="s">
        <v>819</v>
      </c>
    </row>
    <row r="129" spans="1:21" ht="37.5">
      <c r="A129" s="2024"/>
      <c r="B129" s="2024"/>
      <c r="C129" s="2024"/>
      <c r="D129" s="2026"/>
      <c r="E129" s="966" t="s">
        <v>820</v>
      </c>
      <c r="F129" s="967">
        <v>6000</v>
      </c>
      <c r="G129" s="968"/>
      <c r="H129" s="2024"/>
      <c r="I129" s="968"/>
      <c r="J129" s="2022"/>
      <c r="K129" s="968"/>
      <c r="L129" s="969"/>
      <c r="M129" s="968"/>
      <c r="N129" s="2022"/>
      <c r="O129" s="968"/>
      <c r="P129" s="2022"/>
      <c r="Q129" s="968"/>
      <c r="R129" s="969"/>
      <c r="S129" s="2022"/>
      <c r="T129" s="968"/>
      <c r="U129" s="2005"/>
    </row>
    <row r="130" spans="1:21" ht="37.5">
      <c r="A130" s="2024"/>
      <c r="B130" s="2024"/>
      <c r="C130" s="2024"/>
      <c r="D130" s="2026"/>
      <c r="E130" s="966" t="s">
        <v>821</v>
      </c>
      <c r="F130" s="967">
        <v>1600</v>
      </c>
      <c r="G130" s="970"/>
      <c r="H130" s="2024"/>
      <c r="I130" s="970"/>
      <c r="J130" s="2022"/>
      <c r="K130" s="970"/>
      <c r="L130" s="969"/>
      <c r="M130" s="970"/>
      <c r="N130" s="2022"/>
      <c r="O130" s="970"/>
      <c r="P130" s="2022"/>
      <c r="Q130" s="970"/>
      <c r="R130" s="969"/>
      <c r="S130" s="2022"/>
      <c r="T130" s="970"/>
      <c r="U130" s="970"/>
    </row>
    <row r="131" spans="1:21">
      <c r="A131" s="2024"/>
      <c r="B131" s="2024"/>
      <c r="C131" s="2024"/>
      <c r="D131" s="2026"/>
      <c r="E131" s="966" t="s">
        <v>822</v>
      </c>
      <c r="F131" s="967"/>
      <c r="G131" s="957"/>
      <c r="H131" s="2024"/>
      <c r="I131" s="957"/>
      <c r="J131" s="2022"/>
      <c r="K131" s="957"/>
      <c r="L131" s="969"/>
      <c r="M131" s="957"/>
      <c r="N131" s="2022"/>
      <c r="O131" s="957"/>
      <c r="P131" s="2022"/>
      <c r="Q131" s="957"/>
      <c r="R131" s="969"/>
      <c r="S131" s="2022"/>
      <c r="T131" s="957"/>
      <c r="U131" s="957"/>
    </row>
    <row r="132" spans="1:21" ht="37.5">
      <c r="A132" s="2024"/>
      <c r="B132" s="970"/>
      <c r="C132" s="970"/>
      <c r="D132" s="971"/>
      <c r="E132" s="966" t="s">
        <v>823</v>
      </c>
      <c r="F132" s="972">
        <v>15000</v>
      </c>
      <c r="G132" s="957"/>
      <c r="H132" s="957"/>
      <c r="I132" s="957"/>
      <c r="J132" s="957"/>
      <c r="K132" s="957"/>
      <c r="L132" s="973"/>
      <c r="M132" s="957"/>
      <c r="N132" s="957"/>
      <c r="O132" s="957"/>
      <c r="P132" s="957"/>
      <c r="Q132" s="957"/>
      <c r="R132" s="973"/>
      <c r="S132" s="957"/>
      <c r="T132" s="957"/>
      <c r="U132" s="957"/>
    </row>
    <row r="133" spans="1:21" ht="56.25">
      <c r="A133" s="2024"/>
      <c r="B133" s="970"/>
      <c r="C133" s="970"/>
      <c r="D133" s="971"/>
      <c r="E133" s="970" t="s">
        <v>824</v>
      </c>
      <c r="F133" s="974">
        <v>9000</v>
      </c>
      <c r="G133" s="957"/>
      <c r="H133" s="957"/>
      <c r="I133" s="957"/>
      <c r="J133" s="957"/>
      <c r="K133" s="957"/>
      <c r="L133" s="973"/>
      <c r="M133" s="957"/>
      <c r="N133" s="957"/>
      <c r="O133" s="957"/>
      <c r="P133" s="957"/>
      <c r="Q133" s="957"/>
      <c r="R133" s="973"/>
      <c r="S133" s="957"/>
      <c r="T133" s="957"/>
      <c r="U133" s="957"/>
    </row>
    <row r="134" spans="1:21" ht="37.5">
      <c r="A134" s="2024"/>
      <c r="B134" s="970"/>
      <c r="C134" s="970"/>
      <c r="D134" s="971"/>
      <c r="E134" s="970" t="s">
        <v>825</v>
      </c>
      <c r="F134" s="975">
        <v>6000</v>
      </c>
      <c r="G134" s="957"/>
      <c r="H134" s="957"/>
      <c r="I134" s="957"/>
      <c r="J134" s="957"/>
      <c r="K134" s="957"/>
      <c r="L134" s="973"/>
      <c r="M134" s="957"/>
      <c r="N134" s="957"/>
      <c r="O134" s="957"/>
      <c r="P134" s="957"/>
      <c r="Q134" s="957"/>
      <c r="R134" s="973"/>
      <c r="S134" s="957"/>
      <c r="T134" s="957"/>
      <c r="U134" s="957"/>
    </row>
    <row r="135" spans="1:21" ht="37.5">
      <c r="A135" s="2024"/>
      <c r="B135" s="970"/>
      <c r="C135" s="970"/>
      <c r="D135" s="971"/>
      <c r="E135" s="970" t="s">
        <v>826</v>
      </c>
      <c r="F135" s="975">
        <v>4500</v>
      </c>
      <c r="G135" s="957"/>
      <c r="H135" s="957"/>
      <c r="I135" s="957"/>
      <c r="J135" s="957"/>
      <c r="K135" s="957"/>
      <c r="L135" s="973"/>
      <c r="M135" s="957"/>
      <c r="N135" s="957"/>
      <c r="O135" s="957"/>
      <c r="P135" s="957"/>
      <c r="Q135" s="957"/>
      <c r="R135" s="973"/>
      <c r="S135" s="957"/>
      <c r="T135" s="957"/>
      <c r="U135" s="957"/>
    </row>
    <row r="136" spans="1:21">
      <c r="A136" s="2025"/>
      <c r="B136" s="976"/>
      <c r="C136" s="976"/>
      <c r="D136" s="977"/>
      <c r="E136" s="978" t="s">
        <v>702</v>
      </c>
      <c r="F136" s="979">
        <f>SUM(F128:F135)</f>
        <v>51100</v>
      </c>
      <c r="G136" s="980"/>
      <c r="H136" s="981"/>
      <c r="I136" s="980"/>
      <c r="J136" s="980"/>
      <c r="K136" s="980"/>
      <c r="L136" s="982"/>
      <c r="M136" s="980"/>
      <c r="N136" s="980"/>
      <c r="O136" s="980"/>
      <c r="P136" s="980"/>
      <c r="Q136" s="980"/>
      <c r="R136" s="982"/>
      <c r="S136" s="980"/>
      <c r="T136" s="983"/>
      <c r="U136" s="984"/>
    </row>
    <row r="137" spans="1:21">
      <c r="A137" s="2004" t="s">
        <v>827</v>
      </c>
      <c r="B137" s="2004" t="s">
        <v>828</v>
      </c>
      <c r="C137" s="2004" t="s">
        <v>829</v>
      </c>
      <c r="D137" s="2004" t="s">
        <v>830</v>
      </c>
      <c r="E137" s="985" t="s">
        <v>831</v>
      </c>
      <c r="F137" s="986"/>
      <c r="G137" s="987" t="s">
        <v>77</v>
      </c>
      <c r="H137" s="2004" t="s">
        <v>832</v>
      </c>
      <c r="I137" s="988"/>
      <c r="J137" s="2021">
        <v>21600</v>
      </c>
      <c r="K137" s="2021">
        <v>37500</v>
      </c>
      <c r="L137" s="2021"/>
      <c r="M137" s="2021"/>
      <c r="N137" s="2021"/>
      <c r="O137" s="2021"/>
      <c r="P137" s="2021"/>
      <c r="Q137" s="2021"/>
      <c r="R137" s="2021"/>
      <c r="S137" s="2021"/>
      <c r="T137" s="2021"/>
      <c r="U137" s="2002" t="s">
        <v>819</v>
      </c>
    </row>
    <row r="138" spans="1:21" ht="37.5">
      <c r="A138" s="2005"/>
      <c r="B138" s="2005"/>
      <c r="C138" s="2005"/>
      <c r="D138" s="2005"/>
      <c r="E138" s="989" t="s">
        <v>833</v>
      </c>
      <c r="F138" s="967">
        <v>14400</v>
      </c>
      <c r="G138" s="990"/>
      <c r="H138" s="2005"/>
      <c r="I138" s="968"/>
      <c r="J138" s="2022"/>
      <c r="K138" s="2022"/>
      <c r="L138" s="2022"/>
      <c r="M138" s="2022"/>
      <c r="N138" s="2022"/>
      <c r="O138" s="2022"/>
      <c r="P138" s="2022"/>
      <c r="Q138" s="2022"/>
      <c r="R138" s="2022"/>
      <c r="S138" s="2022"/>
      <c r="T138" s="2022"/>
      <c r="U138" s="2003"/>
    </row>
    <row r="139" spans="1:21" ht="37.5">
      <c r="A139" s="2005"/>
      <c r="B139" s="2005"/>
      <c r="C139" s="2005"/>
      <c r="D139" s="2005"/>
      <c r="E139" s="989" t="s">
        <v>834</v>
      </c>
      <c r="F139" s="967">
        <v>7200</v>
      </c>
      <c r="G139" s="990"/>
      <c r="H139" s="2005"/>
      <c r="I139" s="968"/>
      <c r="J139" s="2022"/>
      <c r="K139" s="2022"/>
      <c r="L139" s="2022"/>
      <c r="M139" s="2022"/>
      <c r="N139" s="2022"/>
      <c r="O139" s="2022"/>
      <c r="P139" s="2022"/>
      <c r="Q139" s="2022"/>
      <c r="R139" s="2022"/>
      <c r="S139" s="2022"/>
      <c r="T139" s="2022"/>
      <c r="U139" s="961"/>
    </row>
    <row r="140" spans="1:21">
      <c r="A140" s="2005"/>
      <c r="B140" s="2005"/>
      <c r="C140" s="2005"/>
      <c r="D140" s="2005"/>
      <c r="E140" s="991" t="s">
        <v>835</v>
      </c>
      <c r="F140" s="967"/>
      <c r="G140" s="990"/>
      <c r="H140" s="2005"/>
      <c r="I140" s="968"/>
      <c r="J140" s="2022"/>
      <c r="K140" s="2022"/>
      <c r="L140" s="2022"/>
      <c r="M140" s="2022"/>
      <c r="N140" s="2022"/>
      <c r="O140" s="2022"/>
      <c r="P140" s="2022"/>
      <c r="Q140" s="2022"/>
      <c r="R140" s="2022"/>
      <c r="S140" s="2022"/>
      <c r="T140" s="2022"/>
      <c r="U140" s="961"/>
    </row>
    <row r="141" spans="1:21" ht="37.5">
      <c r="A141" s="2005"/>
      <c r="B141" s="2005"/>
      <c r="C141" s="2005"/>
      <c r="D141" s="2005"/>
      <c r="E141" s="989" t="s">
        <v>836</v>
      </c>
      <c r="F141" s="967">
        <v>12000</v>
      </c>
      <c r="G141" s="990"/>
      <c r="H141" s="2005"/>
      <c r="I141" s="968"/>
      <c r="J141" s="2022"/>
      <c r="K141" s="2022"/>
      <c r="L141" s="2022"/>
      <c r="M141" s="2022"/>
      <c r="N141" s="2022"/>
      <c r="O141" s="2022"/>
      <c r="P141" s="2022"/>
      <c r="Q141" s="2022"/>
      <c r="R141" s="2022"/>
      <c r="S141" s="2022"/>
      <c r="T141" s="2022"/>
      <c r="U141" s="961"/>
    </row>
    <row r="142" spans="1:21" ht="56.25">
      <c r="A142" s="2005"/>
      <c r="B142" s="2005"/>
      <c r="C142" s="2005"/>
      <c r="D142" s="2005"/>
      <c r="E142" s="989" t="s">
        <v>837</v>
      </c>
      <c r="F142" s="967">
        <v>10500</v>
      </c>
      <c r="G142" s="990"/>
      <c r="H142" s="2005"/>
      <c r="I142" s="968"/>
      <c r="J142" s="2022"/>
      <c r="K142" s="2022"/>
      <c r="L142" s="2022"/>
      <c r="M142" s="2022"/>
      <c r="N142" s="2022"/>
      <c r="O142" s="2022"/>
      <c r="P142" s="2022"/>
      <c r="Q142" s="2022"/>
      <c r="R142" s="2022"/>
      <c r="S142" s="2022"/>
      <c r="T142" s="2022"/>
      <c r="U142" s="961"/>
    </row>
    <row r="143" spans="1:21" ht="56.25">
      <c r="A143" s="2005"/>
      <c r="B143" s="2005"/>
      <c r="C143" s="2005"/>
      <c r="D143" s="2005"/>
      <c r="E143" s="989" t="s">
        <v>838</v>
      </c>
      <c r="F143" s="967">
        <v>15000</v>
      </c>
      <c r="G143" s="990"/>
      <c r="H143" s="2005"/>
      <c r="I143" s="968"/>
      <c r="J143" s="2022"/>
      <c r="K143" s="2022"/>
      <c r="L143" s="2022"/>
      <c r="M143" s="2022"/>
      <c r="N143" s="2022"/>
      <c r="O143" s="2022"/>
      <c r="P143" s="2022"/>
      <c r="Q143" s="2022"/>
      <c r="R143" s="2022"/>
      <c r="S143" s="2022"/>
      <c r="T143" s="2022"/>
      <c r="U143" s="961"/>
    </row>
    <row r="144" spans="1:21">
      <c r="A144" s="2006"/>
      <c r="B144" s="992"/>
      <c r="C144" s="992"/>
      <c r="D144" s="993"/>
      <c r="E144" s="994" t="s">
        <v>702</v>
      </c>
      <c r="F144" s="979">
        <f>SUM(F137:F143)</f>
        <v>59100</v>
      </c>
      <c r="G144" s="995"/>
      <c r="H144" s="996"/>
      <c r="I144" s="980"/>
      <c r="J144" s="980"/>
      <c r="K144" s="980"/>
      <c r="L144" s="982"/>
      <c r="M144" s="980"/>
      <c r="N144" s="980"/>
      <c r="O144" s="980"/>
      <c r="P144" s="980"/>
      <c r="Q144" s="980"/>
      <c r="R144" s="982"/>
      <c r="S144" s="980"/>
      <c r="T144" s="983"/>
      <c r="U144" s="997"/>
    </row>
    <row r="145" spans="1:21" ht="37.5">
      <c r="A145" s="2004" t="s">
        <v>839</v>
      </c>
      <c r="B145" s="2004" t="s">
        <v>840</v>
      </c>
      <c r="C145" s="2004" t="s">
        <v>841</v>
      </c>
      <c r="D145" s="2004" t="s">
        <v>842</v>
      </c>
      <c r="E145" s="998" t="s">
        <v>843</v>
      </c>
      <c r="F145" s="986">
        <v>4000</v>
      </c>
      <c r="G145" s="987" t="s">
        <v>77</v>
      </c>
      <c r="H145" s="2020">
        <v>22647</v>
      </c>
      <c r="I145" s="988"/>
      <c r="J145" s="2021"/>
      <c r="K145" s="2021"/>
      <c r="L145" s="2021">
        <v>39600</v>
      </c>
      <c r="M145" s="2021"/>
      <c r="N145" s="2021"/>
      <c r="O145" s="2021"/>
      <c r="P145" s="2021"/>
      <c r="Q145" s="2021"/>
      <c r="R145" s="2021"/>
      <c r="S145" s="2021"/>
      <c r="T145" s="2021"/>
      <c r="U145" s="2002" t="s">
        <v>819</v>
      </c>
    </row>
    <row r="146" spans="1:21" ht="37.5">
      <c r="A146" s="2005"/>
      <c r="B146" s="2005"/>
      <c r="C146" s="2005"/>
      <c r="D146" s="2005"/>
      <c r="E146" s="966" t="s">
        <v>844</v>
      </c>
      <c r="F146" s="967">
        <v>2000</v>
      </c>
      <c r="G146" s="990"/>
      <c r="H146" s="2005"/>
      <c r="I146" s="968"/>
      <c r="J146" s="2022"/>
      <c r="K146" s="2022"/>
      <c r="L146" s="2022"/>
      <c r="M146" s="2022"/>
      <c r="N146" s="2022"/>
      <c r="O146" s="2022"/>
      <c r="P146" s="2022"/>
      <c r="Q146" s="2022"/>
      <c r="R146" s="2022"/>
      <c r="S146" s="2022"/>
      <c r="T146" s="2022"/>
      <c r="U146" s="2003"/>
    </row>
    <row r="147" spans="1:21" ht="56.25">
      <c r="A147" s="2005"/>
      <c r="B147" s="2005"/>
      <c r="C147" s="2005"/>
      <c r="D147" s="2005"/>
      <c r="E147" s="966" t="s">
        <v>845</v>
      </c>
      <c r="F147" s="967">
        <v>1600</v>
      </c>
      <c r="G147" s="999"/>
      <c r="H147" s="2005"/>
      <c r="I147" s="970"/>
      <c r="J147" s="2022"/>
      <c r="K147" s="2022"/>
      <c r="L147" s="2022"/>
      <c r="M147" s="2022"/>
      <c r="N147" s="2022"/>
      <c r="O147" s="2022"/>
      <c r="P147" s="2022"/>
      <c r="Q147" s="2022"/>
      <c r="R147" s="2022"/>
      <c r="S147" s="2022"/>
      <c r="T147" s="2022"/>
      <c r="U147" s="999"/>
    </row>
    <row r="148" spans="1:21">
      <c r="A148" s="2005"/>
      <c r="B148" s="2005"/>
      <c r="C148" s="999"/>
      <c r="D148" s="2005"/>
      <c r="E148" s="966" t="s">
        <v>822</v>
      </c>
      <c r="F148" s="967"/>
      <c r="G148" s="999"/>
      <c r="H148" s="999"/>
      <c r="I148" s="970"/>
      <c r="J148" s="1000"/>
      <c r="K148" s="1000"/>
      <c r="L148" s="1001"/>
      <c r="M148" s="1000"/>
      <c r="N148" s="1000"/>
      <c r="O148" s="1000"/>
      <c r="P148" s="1000"/>
      <c r="Q148" s="1000"/>
      <c r="R148" s="1001"/>
      <c r="S148" s="1000"/>
      <c r="T148" s="1002"/>
      <c r="U148" s="999"/>
    </row>
    <row r="149" spans="1:21" ht="37.5">
      <c r="A149" s="2006"/>
      <c r="B149" s="2006"/>
      <c r="C149" s="992"/>
      <c r="D149" s="993"/>
      <c r="E149" s="981" t="s">
        <v>846</v>
      </c>
      <c r="F149" s="1003">
        <v>10000</v>
      </c>
      <c r="G149" s="992"/>
      <c r="H149" s="992"/>
      <c r="I149" s="976"/>
      <c r="J149" s="1004"/>
      <c r="K149" s="1004"/>
      <c r="L149" s="1005"/>
      <c r="M149" s="1004"/>
      <c r="N149" s="1004"/>
      <c r="O149" s="1004"/>
      <c r="P149" s="1004"/>
      <c r="Q149" s="1004"/>
      <c r="R149" s="1005"/>
      <c r="S149" s="1004"/>
      <c r="T149" s="1006"/>
      <c r="U149" s="992"/>
    </row>
    <row r="150" spans="1:21" ht="56.25">
      <c r="A150" s="1007"/>
      <c r="B150" s="1008"/>
      <c r="C150" s="1008"/>
      <c r="D150" s="1009"/>
      <c r="E150" s="1010" t="s">
        <v>847</v>
      </c>
      <c r="F150" s="1011">
        <v>6000</v>
      </c>
      <c r="G150" s="1008"/>
      <c r="H150" s="1008"/>
      <c r="I150" s="1010"/>
      <c r="J150" s="1012"/>
      <c r="K150" s="1012"/>
      <c r="L150" s="1013"/>
      <c r="M150" s="1012"/>
      <c r="N150" s="1012"/>
      <c r="O150" s="1012"/>
      <c r="P150" s="1012"/>
      <c r="Q150" s="1012"/>
      <c r="R150" s="1013"/>
      <c r="S150" s="1012"/>
      <c r="T150" s="1014"/>
      <c r="U150" s="1008"/>
    </row>
    <row r="151" spans="1:21" ht="37.5">
      <c r="A151" s="1015"/>
      <c r="B151" s="999"/>
      <c r="C151" s="999"/>
      <c r="D151" s="1016"/>
      <c r="E151" s="970" t="s">
        <v>848</v>
      </c>
      <c r="F151" s="975">
        <v>16000</v>
      </c>
      <c r="G151" s="999"/>
      <c r="H151" s="999"/>
      <c r="I151" s="970"/>
      <c r="J151" s="1000"/>
      <c r="K151" s="1000"/>
      <c r="L151" s="1001"/>
      <c r="M151" s="1000"/>
      <c r="N151" s="1000"/>
      <c r="O151" s="1000"/>
      <c r="P151" s="1000"/>
      <c r="Q151" s="1000"/>
      <c r="R151" s="1001"/>
      <c r="S151" s="1000"/>
      <c r="T151" s="1002"/>
      <c r="U151" s="999"/>
    </row>
    <row r="152" spans="1:21">
      <c r="A152" s="996"/>
      <c r="B152" s="992"/>
      <c r="C152" s="992"/>
      <c r="D152" s="993"/>
      <c r="E152" s="994" t="s">
        <v>702</v>
      </c>
      <c r="F152" s="979">
        <f>SUM(F145:F151)</f>
        <v>39600</v>
      </c>
      <c r="G152" s="995"/>
      <c r="H152" s="996"/>
      <c r="I152" s="980"/>
      <c r="J152" s="980"/>
      <c r="K152" s="980"/>
      <c r="L152" s="982"/>
      <c r="M152" s="980"/>
      <c r="N152" s="980"/>
      <c r="O152" s="980"/>
      <c r="P152" s="980"/>
      <c r="Q152" s="980"/>
      <c r="R152" s="982"/>
      <c r="S152" s="980"/>
      <c r="T152" s="983"/>
      <c r="U152" s="997"/>
    </row>
    <row r="153" spans="1:21">
      <c r="A153" s="2004" t="s">
        <v>849</v>
      </c>
      <c r="B153" s="2004" t="s">
        <v>850</v>
      </c>
      <c r="C153" s="2004" t="s">
        <v>851</v>
      </c>
      <c r="D153" s="2004" t="s">
        <v>852</v>
      </c>
      <c r="E153" s="985" t="s">
        <v>831</v>
      </c>
      <c r="F153" s="1017">
        <f>F154+F155+F156+F157</f>
        <v>15200</v>
      </c>
      <c r="G153" s="987" t="s">
        <v>77</v>
      </c>
      <c r="H153" s="2020">
        <v>22678</v>
      </c>
      <c r="I153" s="988"/>
      <c r="J153" s="2021"/>
      <c r="K153" s="2021"/>
      <c r="L153" s="2021"/>
      <c r="M153" s="2021">
        <v>71400</v>
      </c>
      <c r="N153" s="2021"/>
      <c r="O153" s="2021"/>
      <c r="P153" s="2021"/>
      <c r="Q153" s="2021"/>
      <c r="R153" s="2021"/>
      <c r="S153" s="2021"/>
      <c r="T153" s="2021"/>
      <c r="U153" s="2002" t="s">
        <v>819</v>
      </c>
    </row>
    <row r="154" spans="1:21" ht="37.5">
      <c r="A154" s="2005"/>
      <c r="B154" s="2005"/>
      <c r="C154" s="2005"/>
      <c r="D154" s="2005"/>
      <c r="E154" s="989" t="s">
        <v>853</v>
      </c>
      <c r="F154" s="967">
        <v>3200</v>
      </c>
      <c r="G154" s="990"/>
      <c r="H154" s="2005"/>
      <c r="I154" s="968"/>
      <c r="J154" s="2022"/>
      <c r="K154" s="2022"/>
      <c r="L154" s="2022"/>
      <c r="M154" s="2022"/>
      <c r="N154" s="2022"/>
      <c r="O154" s="2022"/>
      <c r="P154" s="2022"/>
      <c r="Q154" s="2022"/>
      <c r="R154" s="2022"/>
      <c r="S154" s="2022"/>
      <c r="T154" s="2022"/>
      <c r="U154" s="2003"/>
    </row>
    <row r="155" spans="1:21" s="863" customFormat="1" ht="37.5">
      <c r="A155" s="2005"/>
      <c r="B155" s="2005"/>
      <c r="C155" s="2005"/>
      <c r="D155" s="2005"/>
      <c r="E155" s="989" t="s">
        <v>854</v>
      </c>
      <c r="F155" s="967">
        <v>3200</v>
      </c>
      <c r="G155" s="990"/>
      <c r="H155" s="2005"/>
      <c r="I155" s="968"/>
      <c r="J155" s="2022"/>
      <c r="K155" s="2022"/>
      <c r="L155" s="2022"/>
      <c r="M155" s="2022"/>
      <c r="N155" s="2022"/>
      <c r="O155" s="2022"/>
      <c r="P155" s="2022"/>
      <c r="Q155" s="2022"/>
      <c r="R155" s="2022"/>
      <c r="S155" s="2022"/>
      <c r="T155" s="2022"/>
      <c r="U155" s="2003"/>
    </row>
    <row r="156" spans="1:21" s="863" customFormat="1" ht="37.5">
      <c r="A156" s="2005"/>
      <c r="B156" s="2005"/>
      <c r="C156" s="2005"/>
      <c r="D156" s="2005"/>
      <c r="E156" s="989" t="s">
        <v>855</v>
      </c>
      <c r="F156" s="967">
        <v>1600</v>
      </c>
      <c r="G156" s="990"/>
      <c r="H156" s="2005"/>
      <c r="I156" s="968"/>
      <c r="J156" s="2022"/>
      <c r="K156" s="2022"/>
      <c r="L156" s="2022"/>
      <c r="M156" s="2022"/>
      <c r="N156" s="2022"/>
      <c r="O156" s="2022"/>
      <c r="P156" s="2022"/>
      <c r="Q156" s="2022"/>
      <c r="R156" s="2022"/>
      <c r="S156" s="2022"/>
      <c r="T156" s="2022"/>
      <c r="U156" s="961"/>
    </row>
    <row r="157" spans="1:21" s="863" customFormat="1" ht="37.5">
      <c r="A157" s="2005"/>
      <c r="B157" s="2005"/>
      <c r="C157" s="2005"/>
      <c r="D157" s="2005"/>
      <c r="E157" s="989" t="s">
        <v>856</v>
      </c>
      <c r="F157" s="967">
        <v>7200</v>
      </c>
      <c r="G157" s="990"/>
      <c r="H157" s="2005"/>
      <c r="I157" s="968"/>
      <c r="J157" s="2022"/>
      <c r="K157" s="2022"/>
      <c r="L157" s="2022"/>
      <c r="M157" s="2022"/>
      <c r="N157" s="2022"/>
      <c r="O157" s="2022"/>
      <c r="P157" s="2022"/>
      <c r="Q157" s="2022"/>
      <c r="R157" s="2022"/>
      <c r="S157" s="2022"/>
      <c r="T157" s="2022"/>
      <c r="U157" s="961"/>
    </row>
    <row r="158" spans="1:21" s="863" customFormat="1">
      <c r="A158" s="2005"/>
      <c r="B158" s="2005"/>
      <c r="C158" s="2005"/>
      <c r="D158" s="2005"/>
      <c r="E158" s="991" t="s">
        <v>835</v>
      </c>
      <c r="F158" s="1018">
        <f>F159+F160+F161+F162</f>
        <v>41000</v>
      </c>
      <c r="G158" s="990"/>
      <c r="H158" s="2005"/>
      <c r="I158" s="968"/>
      <c r="J158" s="2022"/>
      <c r="K158" s="2022"/>
      <c r="L158" s="2022"/>
      <c r="M158" s="2022"/>
      <c r="N158" s="2022"/>
      <c r="O158" s="2022"/>
      <c r="P158" s="2022"/>
      <c r="Q158" s="2022"/>
      <c r="R158" s="2022"/>
      <c r="S158" s="2022"/>
      <c r="T158" s="2022"/>
      <c r="U158" s="961"/>
    </row>
    <row r="159" spans="1:21" ht="56.25">
      <c r="A159" s="2005"/>
      <c r="B159" s="2005"/>
      <c r="C159" s="2005"/>
      <c r="D159" s="2005"/>
      <c r="E159" s="989" t="s">
        <v>857</v>
      </c>
      <c r="F159" s="967">
        <v>2400</v>
      </c>
      <c r="G159" s="990"/>
      <c r="H159" s="2005"/>
      <c r="I159" s="968"/>
      <c r="J159" s="2022"/>
      <c r="K159" s="2022"/>
      <c r="L159" s="2022"/>
      <c r="M159" s="2022"/>
      <c r="N159" s="2022"/>
      <c r="O159" s="2022"/>
      <c r="P159" s="2022"/>
      <c r="Q159" s="2022"/>
      <c r="R159" s="2022"/>
      <c r="S159" s="2022"/>
      <c r="T159" s="2022"/>
      <c r="U159" s="961"/>
    </row>
    <row r="160" spans="1:21" ht="56.25">
      <c r="A160" s="2005"/>
      <c r="B160" s="2005"/>
      <c r="C160" s="2005"/>
      <c r="D160" s="2005"/>
      <c r="E160" s="989" t="s">
        <v>858</v>
      </c>
      <c r="F160" s="967">
        <v>9600</v>
      </c>
      <c r="G160" s="990"/>
      <c r="H160" s="2005"/>
      <c r="I160" s="968"/>
      <c r="J160" s="2022"/>
      <c r="K160" s="2022"/>
      <c r="L160" s="2022"/>
      <c r="M160" s="2022"/>
      <c r="N160" s="2022"/>
      <c r="O160" s="2022"/>
      <c r="P160" s="2022"/>
      <c r="Q160" s="2022"/>
      <c r="R160" s="2022"/>
      <c r="S160" s="2022"/>
      <c r="T160" s="2022"/>
      <c r="U160" s="961"/>
    </row>
    <row r="161" spans="1:21" ht="31.5">
      <c r="A161" s="2005"/>
      <c r="B161" s="2005"/>
      <c r="C161" s="2005"/>
      <c r="D161" s="2005"/>
      <c r="E161" s="1019" t="s">
        <v>859</v>
      </c>
      <c r="F161" s="967">
        <v>14000</v>
      </c>
      <c r="G161" s="990"/>
      <c r="H161" s="2005"/>
      <c r="I161" s="968"/>
      <c r="J161" s="2022"/>
      <c r="K161" s="2022"/>
      <c r="L161" s="2022"/>
      <c r="M161" s="2022"/>
      <c r="N161" s="2022"/>
      <c r="O161" s="2022"/>
      <c r="P161" s="2022"/>
      <c r="Q161" s="2022"/>
      <c r="R161" s="2022"/>
      <c r="S161" s="2022"/>
      <c r="T161" s="2022"/>
      <c r="U161" s="961"/>
    </row>
    <row r="162" spans="1:21" ht="31.5">
      <c r="A162" s="2005"/>
      <c r="B162" s="2005"/>
      <c r="C162" s="2005"/>
      <c r="D162" s="2005"/>
      <c r="E162" s="1019" t="s">
        <v>860</v>
      </c>
      <c r="F162" s="967">
        <v>15000</v>
      </c>
      <c r="G162" s="990"/>
      <c r="H162" s="2005"/>
      <c r="I162" s="968"/>
      <c r="J162" s="2022"/>
      <c r="K162" s="2022"/>
      <c r="L162" s="2022"/>
      <c r="M162" s="2022"/>
      <c r="N162" s="2022"/>
      <c r="O162" s="2022"/>
      <c r="P162" s="2022"/>
      <c r="Q162" s="2022"/>
      <c r="R162" s="2022"/>
      <c r="S162" s="2022"/>
      <c r="T162" s="2022"/>
      <c r="U162" s="961"/>
    </row>
    <row r="163" spans="1:21">
      <c r="A163" s="2006"/>
      <c r="B163" s="999"/>
      <c r="C163" s="999"/>
      <c r="D163" s="1016"/>
      <c r="E163" s="1020" t="s">
        <v>702</v>
      </c>
      <c r="F163" s="986">
        <f>F153+F158</f>
        <v>56200</v>
      </c>
      <c r="G163" s="1021"/>
      <c r="H163" s="1015"/>
      <c r="I163" s="969"/>
      <c r="J163" s="969"/>
      <c r="K163" s="969"/>
      <c r="L163" s="973"/>
      <c r="M163" s="969"/>
      <c r="N163" s="969"/>
      <c r="O163" s="969"/>
      <c r="P163" s="969"/>
      <c r="Q163" s="969"/>
      <c r="R163" s="973"/>
      <c r="S163" s="969"/>
      <c r="T163" s="1022"/>
      <c r="U163" s="1023"/>
    </row>
    <row r="164" spans="1:21" ht="56.25">
      <c r="A164" s="2027" t="s">
        <v>861</v>
      </c>
      <c r="B164" s="2030" t="s">
        <v>862</v>
      </c>
      <c r="C164" s="2030" t="s">
        <v>863</v>
      </c>
      <c r="D164" s="2032" t="s">
        <v>864</v>
      </c>
      <c r="E164" s="312" t="s">
        <v>865</v>
      </c>
      <c r="F164" s="825">
        <v>3240</v>
      </c>
      <c r="G164" s="791" t="s">
        <v>721</v>
      </c>
      <c r="H164" s="2027" t="s">
        <v>866</v>
      </c>
      <c r="I164" s="791"/>
      <c r="J164" s="2000">
        <v>51000</v>
      </c>
      <c r="K164" s="791"/>
      <c r="L164" s="759"/>
      <c r="M164" s="791"/>
      <c r="N164" s="2000"/>
      <c r="O164" s="791"/>
      <c r="P164" s="2000"/>
      <c r="Q164" s="791"/>
      <c r="R164" s="759"/>
      <c r="S164" s="2000"/>
      <c r="T164" s="791"/>
      <c r="U164" s="1455" t="s">
        <v>867</v>
      </c>
    </row>
    <row r="165" spans="1:21" ht="56.25">
      <c r="A165" s="2028"/>
      <c r="B165" s="2031"/>
      <c r="C165" s="2031"/>
      <c r="D165" s="2033"/>
      <c r="E165" s="853" t="s">
        <v>868</v>
      </c>
      <c r="F165" s="818">
        <v>25200</v>
      </c>
      <c r="G165" s="773"/>
      <c r="H165" s="2028"/>
      <c r="I165" s="773"/>
      <c r="J165" s="2001"/>
      <c r="K165" s="773"/>
      <c r="L165" s="71"/>
      <c r="M165" s="773"/>
      <c r="N165" s="2001"/>
      <c r="O165" s="773"/>
      <c r="P165" s="2001"/>
      <c r="Q165" s="773"/>
      <c r="R165" s="71"/>
      <c r="S165" s="2001"/>
      <c r="T165" s="773"/>
      <c r="U165" s="1456"/>
    </row>
    <row r="166" spans="1:21">
      <c r="A166" s="2028"/>
      <c r="B166" s="2031"/>
      <c r="C166" s="2031"/>
      <c r="D166" s="2033"/>
      <c r="E166" s="853" t="s">
        <v>710</v>
      </c>
      <c r="F166" s="818">
        <v>7000</v>
      </c>
      <c r="G166" s="785"/>
      <c r="H166" s="2028"/>
      <c r="I166" s="785"/>
      <c r="J166" s="2001"/>
      <c r="K166" s="785"/>
      <c r="L166" s="71"/>
      <c r="M166" s="785"/>
      <c r="N166" s="2001"/>
      <c r="O166" s="785"/>
      <c r="P166" s="2001"/>
      <c r="Q166" s="785"/>
      <c r="R166" s="71"/>
      <c r="S166" s="2001"/>
      <c r="T166" s="785"/>
      <c r="U166" s="785"/>
    </row>
    <row r="167" spans="1:21">
      <c r="A167" s="2028"/>
      <c r="B167" s="2031"/>
      <c r="C167" s="2031"/>
      <c r="D167" s="2033"/>
      <c r="E167" s="853" t="s">
        <v>869</v>
      </c>
      <c r="F167" s="818"/>
      <c r="G167" s="765"/>
      <c r="H167" s="2028"/>
      <c r="I167" s="765"/>
      <c r="J167" s="2001"/>
      <c r="K167" s="765"/>
      <c r="L167" s="71"/>
      <c r="M167" s="765"/>
      <c r="N167" s="2001"/>
      <c r="O167" s="765"/>
      <c r="P167" s="2001"/>
      <c r="Q167" s="765"/>
      <c r="R167" s="71"/>
      <c r="S167" s="2001"/>
      <c r="T167" s="765"/>
      <c r="U167" s="765"/>
    </row>
    <row r="168" spans="1:21" ht="37.5">
      <c r="A168" s="2028"/>
      <c r="B168" s="854"/>
      <c r="C168" s="785"/>
      <c r="D168" s="855"/>
      <c r="E168" s="853" t="s">
        <v>870</v>
      </c>
      <c r="F168" s="832">
        <v>20000</v>
      </c>
      <c r="G168" s="765"/>
      <c r="H168" s="765"/>
      <c r="I168" s="765"/>
      <c r="J168" s="765"/>
      <c r="K168" s="765"/>
      <c r="L168" s="786"/>
      <c r="M168" s="765"/>
      <c r="N168" s="765"/>
      <c r="O168" s="765"/>
      <c r="P168" s="765"/>
      <c r="Q168" s="765"/>
      <c r="R168" s="786"/>
      <c r="S168" s="765"/>
      <c r="T168" s="765"/>
      <c r="U168" s="765"/>
    </row>
    <row r="169" spans="1:21" ht="56.25">
      <c r="A169" s="2028"/>
      <c r="B169" s="854"/>
      <c r="C169" s="785"/>
      <c r="D169" s="855"/>
      <c r="E169" s="785" t="s">
        <v>871</v>
      </c>
      <c r="F169" s="856">
        <v>14000</v>
      </c>
      <c r="G169" s="765"/>
      <c r="H169" s="765"/>
      <c r="I169" s="765"/>
      <c r="J169" s="765"/>
      <c r="K169" s="765"/>
      <c r="L169" s="786"/>
      <c r="M169" s="765"/>
      <c r="N169" s="765"/>
      <c r="O169" s="765"/>
      <c r="P169" s="765"/>
      <c r="Q169" s="765"/>
      <c r="R169" s="786"/>
      <c r="S169" s="765"/>
      <c r="T169" s="765"/>
      <c r="U169" s="765"/>
    </row>
    <row r="170" spans="1:21" ht="37.5">
      <c r="A170" s="2028"/>
      <c r="B170" s="854"/>
      <c r="C170" s="785"/>
      <c r="D170" s="855"/>
      <c r="E170" s="785" t="s">
        <v>872</v>
      </c>
      <c r="F170" s="857">
        <v>30000</v>
      </c>
      <c r="G170" s="765"/>
      <c r="H170" s="765"/>
      <c r="I170" s="765"/>
      <c r="J170" s="765"/>
      <c r="K170" s="765"/>
      <c r="L170" s="786"/>
      <c r="M170" s="765"/>
      <c r="N170" s="765"/>
      <c r="O170" s="765"/>
      <c r="P170" s="765"/>
      <c r="Q170" s="765"/>
      <c r="R170" s="786"/>
      <c r="S170" s="765"/>
      <c r="T170" s="765"/>
      <c r="U170" s="765"/>
    </row>
    <row r="171" spans="1:21">
      <c r="A171" s="2028"/>
      <c r="B171" s="854"/>
      <c r="C171" s="785"/>
      <c r="D171" s="855"/>
      <c r="E171" s="785" t="s">
        <v>873</v>
      </c>
      <c r="F171" s="857">
        <v>1200</v>
      </c>
      <c r="G171" s="765"/>
      <c r="H171" s="765"/>
      <c r="I171" s="765"/>
      <c r="J171" s="765"/>
      <c r="K171" s="765"/>
      <c r="L171" s="786"/>
      <c r="M171" s="765"/>
      <c r="N171" s="765"/>
      <c r="O171" s="765"/>
      <c r="P171" s="765"/>
      <c r="Q171" s="765"/>
      <c r="R171" s="786"/>
      <c r="S171" s="765"/>
      <c r="T171" s="765"/>
      <c r="U171" s="765"/>
    </row>
    <row r="172" spans="1:21">
      <c r="A172" s="2029"/>
      <c r="B172" s="858"/>
      <c r="C172" s="800"/>
      <c r="D172" s="859"/>
      <c r="E172" s="860" t="s">
        <v>702</v>
      </c>
      <c r="F172" s="823">
        <f>SUM(F164:F171)</f>
        <v>100640</v>
      </c>
      <c r="G172" s="861"/>
      <c r="H172" s="306"/>
      <c r="I172" s="760"/>
      <c r="J172" s="760"/>
      <c r="K172" s="760"/>
      <c r="L172" s="789"/>
      <c r="M172" s="760"/>
      <c r="N172" s="760"/>
      <c r="O172" s="760"/>
      <c r="P172" s="760"/>
      <c r="Q172" s="760"/>
      <c r="R172" s="789"/>
      <c r="S172" s="760"/>
      <c r="T172" s="790"/>
      <c r="U172" s="862"/>
    </row>
    <row r="173" spans="1:21">
      <c r="A173" s="1997" t="s">
        <v>874</v>
      </c>
      <c r="B173" s="1998"/>
      <c r="C173" s="1998"/>
      <c r="D173" s="1998"/>
      <c r="E173" s="1998"/>
      <c r="F173" s="1998"/>
      <c r="G173" s="1998"/>
      <c r="H173" s="1998"/>
      <c r="I173" s="1998"/>
      <c r="J173" s="1998"/>
      <c r="K173" s="1998"/>
      <c r="L173" s="1998"/>
      <c r="M173" s="1998"/>
      <c r="N173" s="1998"/>
      <c r="O173" s="1998"/>
      <c r="P173" s="1998"/>
      <c r="Q173" s="1998"/>
      <c r="R173" s="1998"/>
      <c r="S173" s="1998"/>
      <c r="T173" s="1999"/>
      <c r="U173" s="864"/>
    </row>
    <row r="174" spans="1:21" s="863" customFormat="1" ht="37.5">
      <c r="A174" s="2027" t="s">
        <v>875</v>
      </c>
      <c r="B174" s="2030" t="s">
        <v>876</v>
      </c>
      <c r="C174" s="2030" t="s">
        <v>877</v>
      </c>
      <c r="D174" s="2027" t="s">
        <v>878</v>
      </c>
      <c r="E174" s="312" t="s">
        <v>879</v>
      </c>
      <c r="F174" s="825">
        <v>52000</v>
      </c>
      <c r="G174" s="2035" t="s">
        <v>999</v>
      </c>
      <c r="H174" s="2027" t="s">
        <v>880</v>
      </c>
      <c r="I174" s="791"/>
      <c r="J174" s="2000"/>
      <c r="K174" s="791"/>
      <c r="L174" s="759"/>
      <c r="M174" s="791"/>
      <c r="N174" s="2000"/>
      <c r="O174" s="791"/>
      <c r="P174" s="2000">
        <v>166000</v>
      </c>
      <c r="Q174" s="791"/>
      <c r="R174" s="759"/>
      <c r="S174" s="2000"/>
      <c r="T174" s="791"/>
      <c r="U174" s="1455" t="s">
        <v>867</v>
      </c>
    </row>
    <row r="175" spans="1:21" s="863" customFormat="1" ht="37.5">
      <c r="A175" s="2028"/>
      <c r="B175" s="2031"/>
      <c r="C175" s="2031"/>
      <c r="D175" s="2028"/>
      <c r="E175" s="853" t="s">
        <v>881</v>
      </c>
      <c r="F175" s="818">
        <v>26000</v>
      </c>
      <c r="G175" s="2036"/>
      <c r="H175" s="2028"/>
      <c r="I175" s="773"/>
      <c r="J175" s="2001"/>
      <c r="K175" s="773"/>
      <c r="L175" s="71"/>
      <c r="M175" s="773"/>
      <c r="N175" s="2001"/>
      <c r="O175" s="773"/>
      <c r="P175" s="2001"/>
      <c r="Q175" s="773"/>
      <c r="R175" s="71"/>
      <c r="S175" s="2001"/>
      <c r="T175" s="773"/>
      <c r="U175" s="1457"/>
    </row>
    <row r="176" spans="1:21" s="863" customFormat="1" ht="37.5">
      <c r="A176" s="2028"/>
      <c r="B176" s="2031"/>
      <c r="C176" s="2031"/>
      <c r="D176" s="2028"/>
      <c r="E176" s="853" t="s">
        <v>882</v>
      </c>
      <c r="F176" s="818">
        <v>26000</v>
      </c>
      <c r="G176" s="2036"/>
      <c r="H176" s="2028"/>
      <c r="I176" s="785"/>
      <c r="J176" s="2001"/>
      <c r="K176" s="785"/>
      <c r="L176" s="71"/>
      <c r="M176" s="785"/>
      <c r="N176" s="2001"/>
      <c r="O176" s="785"/>
      <c r="P176" s="2001"/>
      <c r="Q176" s="785"/>
      <c r="R176" s="71"/>
      <c r="S176" s="2001"/>
      <c r="T176" s="785"/>
      <c r="U176" s="785"/>
    </row>
    <row r="177" spans="1:21" s="863" customFormat="1" ht="37.5">
      <c r="A177" s="2028"/>
      <c r="B177" s="2031"/>
      <c r="C177" s="2031"/>
      <c r="D177" s="2028"/>
      <c r="E177" s="853" t="s">
        <v>883</v>
      </c>
      <c r="F177" s="818">
        <v>10000</v>
      </c>
      <c r="G177" s="765"/>
      <c r="H177" s="2028"/>
      <c r="I177" s="765"/>
      <c r="J177" s="2001"/>
      <c r="K177" s="765"/>
      <c r="L177" s="71"/>
      <c r="M177" s="765"/>
      <c r="N177" s="2001"/>
      <c r="O177" s="765"/>
      <c r="P177" s="2001"/>
      <c r="Q177" s="765"/>
      <c r="R177" s="71"/>
      <c r="S177" s="2001"/>
      <c r="T177" s="765"/>
      <c r="U177" s="765"/>
    </row>
    <row r="178" spans="1:21" s="863" customFormat="1" ht="56.25">
      <c r="A178" s="2028"/>
      <c r="B178" s="854"/>
      <c r="C178" s="785"/>
      <c r="D178" s="855"/>
      <c r="E178" s="853" t="s">
        <v>884</v>
      </c>
      <c r="F178" s="832">
        <v>9600</v>
      </c>
      <c r="G178" s="765"/>
      <c r="H178" s="765"/>
      <c r="I178" s="765"/>
      <c r="J178" s="765"/>
      <c r="K178" s="765"/>
      <c r="L178" s="786"/>
      <c r="M178" s="765"/>
      <c r="N178" s="765"/>
      <c r="O178" s="765"/>
      <c r="P178" s="765"/>
      <c r="Q178" s="765"/>
      <c r="R178" s="786"/>
      <c r="S178" s="765"/>
      <c r="T178" s="765"/>
      <c r="U178" s="765"/>
    </row>
    <row r="179" spans="1:21" s="863" customFormat="1" ht="37.5">
      <c r="A179" s="2028"/>
      <c r="B179" s="854"/>
      <c r="C179" s="785"/>
      <c r="D179" s="855"/>
      <c r="E179" s="785" t="s">
        <v>885</v>
      </c>
      <c r="F179" s="856">
        <v>16200</v>
      </c>
      <c r="G179" s="765"/>
      <c r="H179" s="765"/>
      <c r="I179" s="765"/>
      <c r="J179" s="765"/>
      <c r="K179" s="765"/>
      <c r="L179" s="786"/>
      <c r="M179" s="765"/>
      <c r="N179" s="765"/>
      <c r="O179" s="765"/>
      <c r="P179" s="765"/>
      <c r="Q179" s="765"/>
      <c r="R179" s="786"/>
      <c r="S179" s="765"/>
      <c r="T179" s="765"/>
      <c r="U179" s="765"/>
    </row>
    <row r="180" spans="1:21" s="863" customFormat="1" ht="37.5">
      <c r="A180" s="2028"/>
      <c r="B180" s="854"/>
      <c r="C180" s="785"/>
      <c r="D180" s="855"/>
      <c r="E180" s="785" t="s">
        <v>886</v>
      </c>
      <c r="F180" s="865">
        <v>12000</v>
      </c>
      <c r="G180" s="765"/>
      <c r="H180" s="765"/>
      <c r="I180" s="765"/>
      <c r="J180" s="765"/>
      <c r="K180" s="765"/>
      <c r="L180" s="786"/>
      <c r="M180" s="765"/>
      <c r="N180" s="765"/>
      <c r="O180" s="765"/>
      <c r="P180" s="765"/>
      <c r="Q180" s="765"/>
      <c r="R180" s="786"/>
      <c r="S180" s="765"/>
      <c r="T180" s="765"/>
      <c r="U180" s="765"/>
    </row>
    <row r="181" spans="1:21" s="863" customFormat="1">
      <c r="A181" s="2028"/>
      <c r="B181" s="854"/>
      <c r="C181" s="785"/>
      <c r="D181" s="855"/>
      <c r="E181" s="785" t="s">
        <v>763</v>
      </c>
      <c r="F181" s="865">
        <v>10000</v>
      </c>
      <c r="G181" s="765"/>
      <c r="H181" s="765"/>
      <c r="I181" s="765"/>
      <c r="J181" s="765"/>
      <c r="K181" s="765"/>
      <c r="L181" s="786"/>
      <c r="M181" s="765"/>
      <c r="N181" s="765"/>
      <c r="O181" s="765"/>
      <c r="P181" s="765"/>
      <c r="Q181" s="765"/>
      <c r="R181" s="786"/>
      <c r="S181" s="765"/>
      <c r="T181" s="765"/>
      <c r="U181" s="765"/>
    </row>
    <row r="182" spans="1:21" s="863" customFormat="1">
      <c r="A182" s="2028"/>
      <c r="B182" s="854"/>
      <c r="C182" s="785"/>
      <c r="D182" s="855"/>
      <c r="E182" s="785" t="s">
        <v>887</v>
      </c>
      <c r="F182" s="857">
        <v>1200</v>
      </c>
      <c r="G182" s="765"/>
      <c r="H182" s="765"/>
      <c r="I182" s="765"/>
      <c r="J182" s="765"/>
      <c r="K182" s="765"/>
      <c r="L182" s="786"/>
      <c r="M182" s="765"/>
      <c r="N182" s="765"/>
      <c r="O182" s="765"/>
      <c r="P182" s="765"/>
      <c r="Q182" s="765"/>
      <c r="R182" s="786"/>
      <c r="S182" s="765"/>
      <c r="T182" s="765"/>
      <c r="U182" s="765"/>
    </row>
    <row r="183" spans="1:21" s="863" customFormat="1">
      <c r="A183" s="2028"/>
      <c r="B183" s="854"/>
      <c r="C183" s="785"/>
      <c r="D183" s="855"/>
      <c r="E183" s="785" t="s">
        <v>888</v>
      </c>
      <c r="F183" s="857">
        <v>3000</v>
      </c>
      <c r="G183" s="765"/>
      <c r="H183" s="765"/>
      <c r="I183" s="765"/>
      <c r="J183" s="765"/>
      <c r="K183" s="765"/>
      <c r="L183" s="786"/>
      <c r="M183" s="765"/>
      <c r="N183" s="765"/>
      <c r="O183" s="765"/>
      <c r="P183" s="765"/>
      <c r="Q183" s="765"/>
      <c r="R183" s="786"/>
      <c r="S183" s="765"/>
      <c r="T183" s="765"/>
      <c r="U183" s="765"/>
    </row>
    <row r="184" spans="1:21" s="863" customFormat="1">
      <c r="A184" s="2029"/>
      <c r="B184" s="858"/>
      <c r="C184" s="800"/>
      <c r="D184" s="859"/>
      <c r="E184" s="860" t="s">
        <v>702</v>
      </c>
      <c r="F184" s="823">
        <f>SUM(F174:F183)</f>
        <v>166000</v>
      </c>
      <c r="G184" s="861"/>
      <c r="H184" s="306"/>
      <c r="I184" s="760"/>
      <c r="J184" s="760"/>
      <c r="K184" s="760"/>
      <c r="L184" s="789"/>
      <c r="M184" s="760"/>
      <c r="N184" s="760"/>
      <c r="O184" s="760"/>
      <c r="P184" s="760"/>
      <c r="Q184" s="760"/>
      <c r="R184" s="789"/>
      <c r="S184" s="760"/>
      <c r="T184" s="790"/>
      <c r="U184" s="862"/>
    </row>
    <row r="185" spans="1:21" s="863" customFormat="1">
      <c r="A185" s="2016" t="s">
        <v>889</v>
      </c>
      <c r="B185" s="2017"/>
      <c r="C185" s="2017"/>
      <c r="D185" s="2017"/>
      <c r="E185" s="2017"/>
      <c r="F185" s="2017"/>
      <c r="G185" s="2017"/>
      <c r="H185" s="2017"/>
      <c r="I185" s="2017"/>
      <c r="J185" s="2017"/>
      <c r="K185" s="2017"/>
      <c r="L185" s="2017"/>
      <c r="M185" s="2017"/>
      <c r="N185" s="2017"/>
      <c r="O185" s="2017"/>
      <c r="P185" s="2017"/>
      <c r="Q185" s="2017"/>
      <c r="R185" s="2017"/>
      <c r="S185" s="2017"/>
      <c r="T185" s="2034"/>
      <c r="U185" s="862"/>
    </row>
    <row r="186" spans="1:21" s="863" customFormat="1" ht="37.5">
      <c r="A186" s="2027" t="s">
        <v>890</v>
      </c>
      <c r="B186" s="2039" t="s">
        <v>891</v>
      </c>
      <c r="C186" s="2031" t="s">
        <v>892</v>
      </c>
      <c r="D186" s="2033" t="s">
        <v>893</v>
      </c>
      <c r="E186" s="819" t="s">
        <v>894</v>
      </c>
      <c r="F186" s="818">
        <v>10400</v>
      </c>
      <c r="G186" s="772" t="s">
        <v>721</v>
      </c>
      <c r="H186" s="2037">
        <v>22616</v>
      </c>
      <c r="I186" s="773"/>
      <c r="J186" s="2001"/>
      <c r="K186" s="2001">
        <v>53040</v>
      </c>
      <c r="L186" s="71"/>
      <c r="M186" s="773"/>
      <c r="N186" s="2001"/>
      <c r="O186" s="773"/>
      <c r="P186" s="2001"/>
      <c r="Q186" s="773"/>
      <c r="R186" s="71"/>
      <c r="S186" s="2001"/>
      <c r="T186" s="773"/>
      <c r="U186" s="1455" t="s">
        <v>867</v>
      </c>
    </row>
    <row r="187" spans="1:21" s="863" customFormat="1" ht="37.5">
      <c r="A187" s="2028"/>
      <c r="B187" s="2039"/>
      <c r="C187" s="2031"/>
      <c r="D187" s="2033"/>
      <c r="E187" s="853" t="s">
        <v>895</v>
      </c>
      <c r="F187" s="818">
        <v>5200</v>
      </c>
      <c r="G187" s="773"/>
      <c r="H187" s="2038"/>
      <c r="I187" s="773"/>
      <c r="J187" s="2001"/>
      <c r="K187" s="2001"/>
      <c r="L187" s="71"/>
      <c r="M187" s="773"/>
      <c r="N187" s="2001"/>
      <c r="O187" s="773"/>
      <c r="P187" s="2001"/>
      <c r="Q187" s="773"/>
      <c r="R187" s="71"/>
      <c r="S187" s="2001"/>
      <c r="T187" s="773"/>
      <c r="U187" s="1456"/>
    </row>
    <row r="188" spans="1:21" s="863" customFormat="1" ht="37.5">
      <c r="A188" s="2028"/>
      <c r="B188" s="2039"/>
      <c r="C188" s="2031"/>
      <c r="D188" s="2033"/>
      <c r="E188" s="853" t="s">
        <v>896</v>
      </c>
      <c r="F188" s="818">
        <v>3200</v>
      </c>
      <c r="G188" s="785"/>
      <c r="H188" s="2038"/>
      <c r="I188" s="785"/>
      <c r="J188" s="2001"/>
      <c r="K188" s="2001"/>
      <c r="L188" s="71"/>
      <c r="M188" s="785"/>
      <c r="N188" s="2001"/>
      <c r="O188" s="785"/>
      <c r="P188" s="2001"/>
      <c r="Q188" s="785"/>
      <c r="R188" s="71"/>
      <c r="S188" s="2001"/>
      <c r="T188" s="785"/>
      <c r="U188" s="785"/>
    </row>
    <row r="189" spans="1:21" s="863" customFormat="1" ht="37.5">
      <c r="A189" s="2028"/>
      <c r="B189" s="2039"/>
      <c r="C189" s="2031"/>
      <c r="D189" s="2033"/>
      <c r="E189" s="853" t="s">
        <v>897</v>
      </c>
      <c r="F189" s="832">
        <v>4200</v>
      </c>
      <c r="G189" s="765"/>
      <c r="H189" s="2038"/>
      <c r="I189" s="765"/>
      <c r="J189" s="2001"/>
      <c r="K189" s="2001"/>
      <c r="L189" s="71"/>
      <c r="M189" s="765"/>
      <c r="N189" s="2001"/>
      <c r="O189" s="765"/>
      <c r="P189" s="2001"/>
      <c r="Q189" s="765"/>
      <c r="R189" s="71"/>
      <c r="S189" s="2001"/>
      <c r="T189" s="765"/>
      <c r="U189" s="765"/>
    </row>
    <row r="190" spans="1:21" s="863" customFormat="1" ht="37.5">
      <c r="A190" s="2028"/>
      <c r="B190" s="866"/>
      <c r="C190" s="785"/>
      <c r="D190" s="855"/>
      <c r="E190" s="785" t="s">
        <v>898</v>
      </c>
      <c r="F190" s="856">
        <v>5400</v>
      </c>
      <c r="G190" s="765"/>
      <c r="H190" s="765"/>
      <c r="I190" s="765"/>
      <c r="J190" s="765"/>
      <c r="K190" s="765"/>
      <c r="L190" s="786"/>
      <c r="M190" s="765"/>
      <c r="N190" s="765"/>
      <c r="O190" s="765"/>
      <c r="P190" s="765"/>
      <c r="Q190" s="765"/>
      <c r="R190" s="786"/>
      <c r="S190" s="765"/>
      <c r="T190" s="765"/>
      <c r="U190" s="765"/>
    </row>
    <row r="191" spans="1:21" s="863" customFormat="1" ht="37.5">
      <c r="A191" s="2028"/>
      <c r="B191" s="866"/>
      <c r="C191" s="785"/>
      <c r="D191" s="855"/>
      <c r="E191" s="785" t="s">
        <v>886</v>
      </c>
      <c r="F191" s="865">
        <v>12000</v>
      </c>
      <c r="G191" s="765"/>
      <c r="H191" s="765"/>
      <c r="I191" s="765"/>
      <c r="J191" s="765"/>
      <c r="K191" s="765"/>
      <c r="L191" s="786"/>
      <c r="M191" s="765"/>
      <c r="N191" s="765"/>
      <c r="O191" s="765"/>
      <c r="P191" s="765"/>
      <c r="Q191" s="765"/>
      <c r="R191" s="786"/>
      <c r="S191" s="765"/>
      <c r="T191" s="765"/>
      <c r="U191" s="765"/>
    </row>
    <row r="192" spans="1:21" s="863" customFormat="1">
      <c r="A192" s="2028"/>
      <c r="B192" s="866"/>
      <c r="C192" s="785"/>
      <c r="D192" s="855"/>
      <c r="E192" s="785" t="s">
        <v>763</v>
      </c>
      <c r="F192" s="865">
        <v>8440</v>
      </c>
      <c r="G192" s="765"/>
      <c r="H192" s="765"/>
      <c r="I192" s="765"/>
      <c r="J192" s="765"/>
      <c r="K192" s="765"/>
      <c r="L192" s="786"/>
      <c r="M192" s="765"/>
      <c r="N192" s="765"/>
      <c r="O192" s="765"/>
      <c r="P192" s="765"/>
      <c r="Q192" s="765"/>
      <c r="R192" s="786"/>
      <c r="S192" s="765"/>
      <c r="T192" s="765"/>
      <c r="U192" s="765"/>
    </row>
    <row r="193" spans="1:21" s="863" customFormat="1">
      <c r="A193" s="2028"/>
      <c r="B193" s="866"/>
      <c r="C193" s="785"/>
      <c r="D193" s="855"/>
      <c r="E193" s="785" t="s">
        <v>887</v>
      </c>
      <c r="F193" s="857">
        <v>1200</v>
      </c>
      <c r="G193" s="765"/>
      <c r="H193" s="765"/>
      <c r="I193" s="765"/>
      <c r="J193" s="765"/>
      <c r="K193" s="765"/>
      <c r="L193" s="786"/>
      <c r="M193" s="765"/>
      <c r="N193" s="765"/>
      <c r="O193" s="765"/>
      <c r="P193" s="765"/>
      <c r="Q193" s="765"/>
      <c r="R193" s="786"/>
      <c r="S193" s="765"/>
      <c r="T193" s="765"/>
      <c r="U193" s="765"/>
    </row>
    <row r="194" spans="1:21" s="863" customFormat="1">
      <c r="A194" s="2028"/>
      <c r="B194" s="866"/>
      <c r="C194" s="785"/>
      <c r="D194" s="855"/>
      <c r="E194" s="785" t="s">
        <v>888</v>
      </c>
      <c r="F194" s="857">
        <v>3000</v>
      </c>
      <c r="G194" s="861"/>
      <c r="H194" s="306"/>
      <c r="I194" s="760"/>
      <c r="J194" s="760"/>
      <c r="K194" s="760"/>
      <c r="L194" s="789"/>
      <c r="M194" s="760"/>
      <c r="N194" s="760"/>
      <c r="O194" s="760"/>
      <c r="P194" s="760"/>
      <c r="Q194" s="760"/>
      <c r="R194" s="789"/>
      <c r="S194" s="760"/>
      <c r="T194" s="790"/>
      <c r="U194" s="862"/>
    </row>
    <row r="195" spans="1:21" s="863" customFormat="1">
      <c r="A195" s="239"/>
      <c r="B195" s="307"/>
      <c r="C195" s="307"/>
      <c r="D195" s="307"/>
      <c r="E195" s="867" t="s">
        <v>4</v>
      </c>
      <c r="F195" s="868">
        <f>SUM(F186:F194)</f>
        <v>53040</v>
      </c>
      <c r="G195" s="869"/>
      <c r="H195" s="870"/>
      <c r="I195" s="768"/>
      <c r="J195" s="768"/>
      <c r="K195" s="768"/>
      <c r="L195" s="768"/>
      <c r="M195" s="768"/>
      <c r="N195" s="768"/>
      <c r="O195" s="768"/>
      <c r="P195" s="768"/>
      <c r="Q195" s="768"/>
      <c r="R195" s="768"/>
      <c r="S195" s="768"/>
      <c r="T195" s="768"/>
      <c r="U195" s="240"/>
    </row>
    <row r="196" spans="1:21" s="863" customFormat="1" ht="56.25">
      <c r="A196" s="2028" t="s">
        <v>899</v>
      </c>
      <c r="B196" s="2031" t="s">
        <v>900</v>
      </c>
      <c r="C196" s="2031" t="s">
        <v>892</v>
      </c>
      <c r="D196" s="2033" t="s">
        <v>901</v>
      </c>
      <c r="E196" s="819" t="s">
        <v>902</v>
      </c>
      <c r="F196" s="818">
        <v>8000</v>
      </c>
      <c r="G196" s="773" t="s">
        <v>721</v>
      </c>
      <c r="H196" s="2037">
        <v>22616</v>
      </c>
      <c r="I196" s="773"/>
      <c r="J196" s="2001"/>
      <c r="K196" s="2001">
        <v>30000</v>
      </c>
      <c r="L196" s="71"/>
      <c r="M196" s="773"/>
      <c r="N196" s="2001"/>
      <c r="O196" s="773"/>
      <c r="P196" s="2001"/>
      <c r="Q196" s="773"/>
      <c r="R196" s="71"/>
      <c r="S196" s="2001"/>
      <c r="T196" s="773"/>
      <c r="U196" s="1455" t="s">
        <v>867</v>
      </c>
    </row>
    <row r="197" spans="1:21" s="863" customFormat="1" ht="37.5">
      <c r="A197" s="2028"/>
      <c r="B197" s="2031"/>
      <c r="C197" s="2031"/>
      <c r="D197" s="2033"/>
      <c r="E197" s="853" t="s">
        <v>903</v>
      </c>
      <c r="F197" s="818">
        <v>4000</v>
      </c>
      <c r="G197" s="773"/>
      <c r="H197" s="2038"/>
      <c r="I197" s="773"/>
      <c r="J197" s="2001"/>
      <c r="K197" s="2001"/>
      <c r="L197" s="71"/>
      <c r="M197" s="773"/>
      <c r="N197" s="2001"/>
      <c r="O197" s="773"/>
      <c r="P197" s="2001"/>
      <c r="Q197" s="773"/>
      <c r="R197" s="71"/>
      <c r="S197" s="2001"/>
      <c r="T197" s="773"/>
      <c r="U197" s="1456"/>
    </row>
    <row r="198" spans="1:21" s="863" customFormat="1" ht="37.5">
      <c r="A198" s="2028"/>
      <c r="B198" s="2031"/>
      <c r="C198" s="2031"/>
      <c r="D198" s="2033"/>
      <c r="E198" s="853" t="s">
        <v>896</v>
      </c>
      <c r="F198" s="818">
        <v>3200</v>
      </c>
      <c r="G198" s="785"/>
      <c r="H198" s="2038"/>
      <c r="I198" s="785"/>
      <c r="J198" s="2001"/>
      <c r="K198" s="2001"/>
      <c r="L198" s="71"/>
      <c r="M198" s="785"/>
      <c r="N198" s="2001"/>
      <c r="O198" s="785"/>
      <c r="P198" s="2001"/>
      <c r="Q198" s="785"/>
      <c r="R198" s="71"/>
      <c r="S198" s="2001"/>
      <c r="T198" s="785"/>
      <c r="U198" s="785"/>
    </row>
    <row r="199" spans="1:21" s="863" customFormat="1" ht="37.5">
      <c r="A199" s="2028"/>
      <c r="B199" s="2031"/>
      <c r="C199" s="2031"/>
      <c r="D199" s="2033"/>
      <c r="E199" s="853" t="s">
        <v>897</v>
      </c>
      <c r="F199" s="832">
        <v>4200</v>
      </c>
      <c r="G199" s="765"/>
      <c r="H199" s="2038"/>
      <c r="I199" s="765"/>
      <c r="J199" s="2001"/>
      <c r="K199" s="2001"/>
      <c r="L199" s="71"/>
      <c r="M199" s="765"/>
      <c r="N199" s="2001"/>
      <c r="O199" s="765"/>
      <c r="P199" s="2001"/>
      <c r="Q199" s="765"/>
      <c r="R199" s="71"/>
      <c r="S199" s="2001"/>
      <c r="T199" s="765"/>
      <c r="U199" s="765"/>
    </row>
    <row r="200" spans="1:21" s="863" customFormat="1">
      <c r="A200" s="2028"/>
      <c r="B200" s="854"/>
      <c r="C200" s="785"/>
      <c r="D200" s="855"/>
      <c r="E200" s="785" t="s">
        <v>763</v>
      </c>
      <c r="F200" s="865">
        <v>6400</v>
      </c>
      <c r="G200" s="765"/>
      <c r="H200" s="765"/>
      <c r="I200" s="765"/>
      <c r="J200" s="765"/>
      <c r="K200" s="765"/>
      <c r="L200" s="786"/>
      <c r="M200" s="765"/>
      <c r="N200" s="765"/>
      <c r="O200" s="765"/>
      <c r="P200" s="765"/>
      <c r="Q200" s="765"/>
      <c r="R200" s="786"/>
      <c r="S200" s="765"/>
      <c r="T200" s="765"/>
      <c r="U200" s="765"/>
    </row>
    <row r="201" spans="1:21" s="863" customFormat="1">
      <c r="A201" s="2028"/>
      <c r="B201" s="854"/>
      <c r="C201" s="785"/>
      <c r="D201" s="855"/>
      <c r="E201" s="785" t="s">
        <v>887</v>
      </c>
      <c r="F201" s="857">
        <v>1200</v>
      </c>
      <c r="G201" s="765"/>
      <c r="H201" s="765"/>
      <c r="I201" s="765"/>
      <c r="J201" s="765"/>
      <c r="K201" s="765"/>
      <c r="L201" s="786"/>
      <c r="M201" s="765"/>
      <c r="N201" s="765"/>
      <c r="O201" s="765"/>
      <c r="P201" s="765"/>
      <c r="Q201" s="765"/>
      <c r="R201" s="786"/>
      <c r="S201" s="765"/>
      <c r="T201" s="765"/>
      <c r="U201" s="765"/>
    </row>
    <row r="202" spans="1:21" s="863" customFormat="1">
      <c r="A202" s="2028"/>
      <c r="B202" s="854"/>
      <c r="C202" s="785"/>
      <c r="D202" s="855"/>
      <c r="E202" s="785" t="s">
        <v>888</v>
      </c>
      <c r="F202" s="857">
        <v>3000</v>
      </c>
      <c r="G202" s="871"/>
      <c r="H202" s="853"/>
      <c r="I202" s="71"/>
      <c r="J202" s="71"/>
      <c r="K202" s="71"/>
      <c r="L202" s="786"/>
      <c r="M202" s="71"/>
      <c r="N202" s="71"/>
      <c r="O202" s="71"/>
      <c r="P202" s="71"/>
      <c r="Q202" s="71"/>
      <c r="R202" s="786"/>
      <c r="S202" s="71"/>
      <c r="T202" s="788"/>
      <c r="U202" s="872"/>
    </row>
    <row r="203" spans="1:21" s="863" customFormat="1">
      <c r="A203" s="239"/>
      <c r="B203" s="307"/>
      <c r="C203" s="307"/>
      <c r="D203" s="307"/>
      <c r="E203" s="873" t="s">
        <v>4</v>
      </c>
      <c r="F203" s="874">
        <f>SUM(F196:F202)</f>
        <v>30000</v>
      </c>
      <c r="G203" s="800"/>
      <c r="H203" s="875"/>
      <c r="I203" s="769"/>
      <c r="J203" s="769"/>
      <c r="K203" s="769"/>
      <c r="L203" s="769"/>
      <c r="M203" s="769"/>
      <c r="N203" s="769"/>
      <c r="O203" s="769"/>
      <c r="P203" s="769"/>
      <c r="Q203" s="769"/>
      <c r="R203" s="769"/>
      <c r="S203" s="769"/>
      <c r="T203" s="769"/>
      <c r="U203" s="239"/>
    </row>
    <row r="204" spans="1:21" s="863" customFormat="1" ht="37.5">
      <c r="A204" s="2027" t="s">
        <v>904</v>
      </c>
      <c r="B204" s="2031" t="s">
        <v>905</v>
      </c>
      <c r="C204" s="2031" t="s">
        <v>906</v>
      </c>
      <c r="D204" s="2033" t="s">
        <v>907</v>
      </c>
      <c r="E204" s="876" t="s">
        <v>908</v>
      </c>
      <c r="F204" s="877"/>
      <c r="G204" s="773" t="s">
        <v>909</v>
      </c>
      <c r="H204" s="2037">
        <v>22706</v>
      </c>
      <c r="I204" s="773"/>
      <c r="J204" s="2001"/>
      <c r="K204" s="2001"/>
      <c r="L204" s="71"/>
      <c r="M204" s="773"/>
      <c r="N204" s="2001">
        <v>205320</v>
      </c>
      <c r="O204" s="773"/>
      <c r="P204" s="2001"/>
      <c r="Q204" s="773"/>
      <c r="R204" s="71"/>
      <c r="S204" s="2001"/>
      <c r="T204" s="773"/>
      <c r="U204" s="1493" t="s">
        <v>867</v>
      </c>
    </row>
    <row r="205" spans="1:21" s="863" customFormat="1">
      <c r="A205" s="2028"/>
      <c r="B205" s="2031"/>
      <c r="C205" s="2031"/>
      <c r="D205" s="2033"/>
      <c r="E205" s="878" t="s">
        <v>910</v>
      </c>
      <c r="F205" s="877"/>
      <c r="G205" s="773"/>
      <c r="H205" s="2038"/>
      <c r="I205" s="773"/>
      <c r="J205" s="2001"/>
      <c r="K205" s="2001"/>
      <c r="L205" s="71"/>
      <c r="M205" s="773"/>
      <c r="N205" s="2001"/>
      <c r="O205" s="773"/>
      <c r="P205" s="2001"/>
      <c r="Q205" s="773"/>
      <c r="R205" s="71"/>
      <c r="S205" s="2001"/>
      <c r="T205" s="773"/>
      <c r="U205" s="1473"/>
    </row>
    <row r="206" spans="1:21" s="863" customFormat="1" ht="37.5">
      <c r="A206" s="2028"/>
      <c r="B206" s="2031"/>
      <c r="C206" s="2031"/>
      <c r="D206" s="2033"/>
      <c r="E206" s="819" t="s">
        <v>911</v>
      </c>
      <c r="F206" s="818">
        <v>2400</v>
      </c>
      <c r="G206" s="785"/>
      <c r="H206" s="2038"/>
      <c r="I206" s="785"/>
      <c r="J206" s="2001"/>
      <c r="K206" s="2001"/>
      <c r="L206" s="71"/>
      <c r="M206" s="785"/>
      <c r="N206" s="2001"/>
      <c r="O206" s="785"/>
      <c r="P206" s="2001"/>
      <c r="Q206" s="785"/>
      <c r="R206" s="71"/>
      <c r="S206" s="2001"/>
      <c r="T206" s="785"/>
      <c r="U206" s="1473"/>
    </row>
    <row r="207" spans="1:21" s="863" customFormat="1" ht="37.5">
      <c r="A207" s="2028"/>
      <c r="B207" s="2031"/>
      <c r="C207" s="2031"/>
      <c r="D207" s="2033"/>
      <c r="E207" s="853" t="s">
        <v>912</v>
      </c>
      <c r="F207" s="818">
        <v>1200</v>
      </c>
      <c r="G207" s="765"/>
      <c r="H207" s="2038"/>
      <c r="I207" s="765"/>
      <c r="J207" s="2001"/>
      <c r="K207" s="2001"/>
      <c r="L207" s="71"/>
      <c r="M207" s="765"/>
      <c r="N207" s="2001"/>
      <c r="O207" s="765"/>
      <c r="P207" s="2001"/>
      <c r="Q207" s="765"/>
      <c r="R207" s="71"/>
      <c r="S207" s="2001"/>
      <c r="T207" s="765"/>
      <c r="U207" s="765"/>
    </row>
    <row r="208" spans="1:21" s="863" customFormat="1" ht="56.25">
      <c r="A208" s="2028"/>
      <c r="B208" s="854"/>
      <c r="C208" s="785"/>
      <c r="D208" s="855"/>
      <c r="E208" s="853" t="s">
        <v>913</v>
      </c>
      <c r="F208" s="818">
        <v>4200</v>
      </c>
      <c r="G208" s="765"/>
      <c r="H208" s="765"/>
      <c r="I208" s="765"/>
      <c r="J208" s="765"/>
      <c r="K208" s="765"/>
      <c r="L208" s="786"/>
      <c r="M208" s="765"/>
      <c r="N208" s="765"/>
      <c r="O208" s="765"/>
      <c r="P208" s="765"/>
      <c r="Q208" s="765"/>
      <c r="R208" s="786"/>
      <c r="S208" s="765"/>
      <c r="T208" s="765"/>
      <c r="U208" s="765"/>
    </row>
    <row r="209" spans="1:21" s="863" customFormat="1" ht="56.25">
      <c r="A209" s="853"/>
      <c r="B209" s="854"/>
      <c r="C209" s="785"/>
      <c r="D209" s="855"/>
      <c r="E209" s="853" t="s">
        <v>914</v>
      </c>
      <c r="F209" s="832">
        <v>15000</v>
      </c>
      <c r="G209" s="765"/>
      <c r="H209" s="765"/>
      <c r="I209" s="765"/>
      <c r="J209" s="765"/>
      <c r="K209" s="765"/>
      <c r="L209" s="786"/>
      <c r="M209" s="765"/>
      <c r="N209" s="765"/>
      <c r="O209" s="765"/>
      <c r="P209" s="765"/>
      <c r="Q209" s="765"/>
      <c r="R209" s="786"/>
      <c r="S209" s="765"/>
      <c r="T209" s="765"/>
      <c r="U209" s="765"/>
    </row>
    <row r="210" spans="1:21" s="863" customFormat="1">
      <c r="A210" s="853"/>
      <c r="B210" s="854"/>
      <c r="C210" s="785"/>
      <c r="D210" s="855"/>
      <c r="E210" s="344" t="s">
        <v>763</v>
      </c>
      <c r="F210" s="879">
        <v>3520</v>
      </c>
      <c r="G210" s="765"/>
      <c r="H210" s="765"/>
      <c r="I210" s="765"/>
      <c r="J210" s="765"/>
      <c r="K210" s="765"/>
      <c r="L210" s="786"/>
      <c r="M210" s="765"/>
      <c r="N210" s="765"/>
      <c r="O210" s="765"/>
      <c r="P210" s="765"/>
      <c r="Q210" s="765"/>
      <c r="R210" s="786"/>
      <c r="S210" s="765"/>
      <c r="T210" s="765"/>
      <c r="U210" s="765"/>
    </row>
    <row r="211" spans="1:21" s="863" customFormat="1">
      <c r="A211" s="853"/>
      <c r="B211" s="854"/>
      <c r="C211" s="785"/>
      <c r="D211" s="855"/>
      <c r="E211" s="880" t="s">
        <v>915</v>
      </c>
      <c r="F211" s="865"/>
      <c r="G211" s="765"/>
      <c r="H211" s="765"/>
      <c r="I211" s="765"/>
      <c r="J211" s="765"/>
      <c r="K211" s="765"/>
      <c r="L211" s="786"/>
      <c r="M211" s="765"/>
      <c r="N211" s="765"/>
      <c r="O211" s="765"/>
      <c r="P211" s="765"/>
      <c r="Q211" s="765"/>
      <c r="R211" s="786"/>
      <c r="S211" s="765"/>
      <c r="T211" s="765"/>
      <c r="U211" s="765"/>
    </row>
    <row r="212" spans="1:21" s="863" customFormat="1" ht="37.5">
      <c r="A212" s="853"/>
      <c r="B212" s="854"/>
      <c r="C212" s="785"/>
      <c r="D212" s="855"/>
      <c r="E212" s="881" t="s">
        <v>916</v>
      </c>
      <c r="F212" s="865">
        <v>52800</v>
      </c>
      <c r="G212" s="765"/>
      <c r="H212" s="765"/>
      <c r="I212" s="765"/>
      <c r="J212" s="765"/>
      <c r="K212" s="765"/>
      <c r="L212" s="786"/>
      <c r="M212" s="765"/>
      <c r="N212" s="765"/>
      <c r="O212" s="765"/>
      <c r="P212" s="765"/>
      <c r="Q212" s="765"/>
      <c r="R212" s="786"/>
      <c r="S212" s="765"/>
      <c r="T212" s="765"/>
      <c r="U212" s="765"/>
    </row>
    <row r="213" spans="1:21" s="863" customFormat="1" ht="56.25">
      <c r="A213" s="853"/>
      <c r="B213" s="854"/>
      <c r="C213" s="785"/>
      <c r="D213" s="855"/>
      <c r="E213" s="881" t="s">
        <v>917</v>
      </c>
      <c r="F213" s="865">
        <v>56000</v>
      </c>
      <c r="G213" s="765"/>
      <c r="H213" s="765"/>
      <c r="I213" s="765"/>
      <c r="J213" s="765"/>
      <c r="K213" s="765"/>
      <c r="L213" s="786"/>
      <c r="M213" s="765"/>
      <c r="N213" s="765"/>
      <c r="O213" s="765"/>
      <c r="P213" s="765"/>
      <c r="Q213" s="765"/>
      <c r="R213" s="786"/>
      <c r="S213" s="765"/>
      <c r="T213" s="765"/>
      <c r="U213" s="765"/>
    </row>
    <row r="214" spans="1:21" s="863" customFormat="1" ht="37.5">
      <c r="A214" s="853"/>
      <c r="B214" s="854"/>
      <c r="C214" s="785"/>
      <c r="D214" s="855"/>
      <c r="E214" s="881" t="s">
        <v>918</v>
      </c>
      <c r="F214" s="865">
        <v>66000</v>
      </c>
      <c r="G214" s="765"/>
      <c r="H214" s="765"/>
      <c r="I214" s="765"/>
      <c r="J214" s="765"/>
      <c r="K214" s="765"/>
      <c r="L214" s="786"/>
      <c r="M214" s="765"/>
      <c r="N214" s="765"/>
      <c r="O214" s="765"/>
      <c r="P214" s="765"/>
      <c r="Q214" s="765"/>
      <c r="R214" s="786"/>
      <c r="S214" s="765"/>
      <c r="T214" s="765"/>
      <c r="U214" s="765"/>
    </row>
    <row r="215" spans="1:21" s="863" customFormat="1">
      <c r="A215" s="853"/>
      <c r="B215" s="854"/>
      <c r="C215" s="785"/>
      <c r="D215" s="855"/>
      <c r="E215" s="881" t="s">
        <v>919</v>
      </c>
      <c r="F215" s="865">
        <v>4200</v>
      </c>
      <c r="G215" s="765"/>
      <c r="H215" s="765"/>
      <c r="I215" s="765"/>
      <c r="J215" s="765"/>
      <c r="K215" s="765"/>
      <c r="L215" s="786"/>
      <c r="M215" s="765"/>
      <c r="N215" s="765"/>
      <c r="O215" s="765"/>
      <c r="P215" s="765"/>
      <c r="Q215" s="765"/>
      <c r="R215" s="786"/>
      <c r="S215" s="765"/>
      <c r="T215" s="765"/>
      <c r="U215" s="765"/>
    </row>
    <row r="216" spans="1:21" s="863" customFormat="1">
      <c r="A216" s="306"/>
      <c r="B216" s="858"/>
      <c r="C216" s="800"/>
      <c r="D216" s="859"/>
      <c r="E216" s="882" t="s">
        <v>702</v>
      </c>
      <c r="F216" s="883">
        <f>SUM(F204:F215)</f>
        <v>205320</v>
      </c>
      <c r="G216" s="770"/>
      <c r="H216" s="770"/>
      <c r="I216" s="770"/>
      <c r="J216" s="770"/>
      <c r="K216" s="770"/>
      <c r="L216" s="789"/>
      <c r="M216" s="770"/>
      <c r="N216" s="770"/>
      <c r="O216" s="770"/>
      <c r="P216" s="770"/>
      <c r="Q216" s="770"/>
      <c r="R216" s="789"/>
      <c r="S216" s="770"/>
      <c r="T216" s="770"/>
      <c r="U216" s="770"/>
    </row>
    <row r="217" spans="1:21" s="863" customFormat="1">
      <c r="A217" s="2027" t="s">
        <v>920</v>
      </c>
      <c r="B217" s="2030" t="s">
        <v>921</v>
      </c>
      <c r="C217" s="2030" t="s">
        <v>922</v>
      </c>
      <c r="D217" s="2032" t="s">
        <v>923</v>
      </c>
      <c r="E217" s="884" t="s">
        <v>924</v>
      </c>
      <c r="F217" s="885"/>
      <c r="G217" s="791"/>
      <c r="H217" s="2037">
        <v>22798</v>
      </c>
      <c r="I217" s="791"/>
      <c r="J217" s="2000"/>
      <c r="K217" s="2000"/>
      <c r="L217" s="759"/>
      <c r="M217" s="791"/>
      <c r="N217" s="2000"/>
      <c r="O217" s="791"/>
      <c r="P217" s="2000"/>
      <c r="Q217" s="791"/>
      <c r="R217" s="759"/>
      <c r="S217" s="2000"/>
      <c r="T217" s="791"/>
      <c r="U217" s="1455" t="s">
        <v>867</v>
      </c>
    </row>
    <row r="218" spans="1:21" s="863" customFormat="1">
      <c r="A218" s="2028"/>
      <c r="B218" s="2031"/>
      <c r="C218" s="2031"/>
      <c r="D218" s="2033"/>
      <c r="E218" s="878" t="s">
        <v>925</v>
      </c>
      <c r="F218" s="877"/>
      <c r="G218" s="773"/>
      <c r="H218" s="2038"/>
      <c r="I218" s="773"/>
      <c r="J218" s="2001"/>
      <c r="K218" s="2001"/>
      <c r="L218" s="71"/>
      <c r="M218" s="773"/>
      <c r="N218" s="2001"/>
      <c r="O218" s="773"/>
      <c r="P218" s="2001"/>
      <c r="Q218" s="773"/>
      <c r="R218" s="71"/>
      <c r="S218" s="2001"/>
      <c r="T218" s="773"/>
      <c r="U218" s="1456"/>
    </row>
    <row r="219" spans="1:21" s="863" customFormat="1">
      <c r="A219" s="2028"/>
      <c r="B219" s="2031"/>
      <c r="C219" s="2031"/>
      <c r="D219" s="2033"/>
      <c r="E219" s="819"/>
      <c r="F219" s="818"/>
      <c r="G219" s="785"/>
      <c r="H219" s="2038"/>
      <c r="I219" s="785"/>
      <c r="J219" s="2001"/>
      <c r="K219" s="2001"/>
      <c r="L219" s="71"/>
      <c r="M219" s="785"/>
      <c r="N219" s="2001"/>
      <c r="O219" s="785"/>
      <c r="P219" s="2001"/>
      <c r="Q219" s="785"/>
      <c r="R219" s="71"/>
      <c r="S219" s="2001"/>
      <c r="T219" s="785"/>
      <c r="U219" s="1456"/>
    </row>
    <row r="220" spans="1:21" s="863" customFormat="1">
      <c r="A220" s="2028"/>
      <c r="B220" s="2031"/>
      <c r="C220" s="2031"/>
      <c r="D220" s="2033"/>
      <c r="E220" s="853"/>
      <c r="F220" s="818"/>
      <c r="G220" s="765"/>
      <c r="H220" s="2038"/>
      <c r="I220" s="765"/>
      <c r="J220" s="2001"/>
      <c r="K220" s="2001"/>
      <c r="L220" s="71"/>
      <c r="M220" s="765"/>
      <c r="N220" s="2001"/>
      <c r="O220" s="765"/>
      <c r="P220" s="2001"/>
      <c r="Q220" s="765"/>
      <c r="R220" s="71"/>
      <c r="S220" s="2001"/>
      <c r="T220" s="765"/>
      <c r="U220" s="1456"/>
    </row>
    <row r="221" spans="1:21" s="863" customFormat="1">
      <c r="A221" s="2029"/>
      <c r="B221" s="858"/>
      <c r="C221" s="800"/>
      <c r="D221" s="859"/>
      <c r="E221" s="306"/>
      <c r="F221" s="845"/>
      <c r="G221" s="770"/>
      <c r="H221" s="770"/>
      <c r="I221" s="770"/>
      <c r="J221" s="770"/>
      <c r="K221" s="770"/>
      <c r="L221" s="789"/>
      <c r="M221" s="770"/>
      <c r="N221" s="770"/>
      <c r="O221" s="770"/>
      <c r="P221" s="770"/>
      <c r="Q221" s="770"/>
      <c r="R221" s="789"/>
      <c r="S221" s="770"/>
      <c r="T221" s="770"/>
      <c r="U221" s="770"/>
    </row>
    <row r="222" spans="1:21" s="863" customFormat="1" ht="37.5">
      <c r="A222" s="2027" t="s">
        <v>926</v>
      </c>
      <c r="B222" s="2031" t="s">
        <v>927</v>
      </c>
      <c r="C222" s="2031" t="s">
        <v>928</v>
      </c>
      <c r="D222" s="2033" t="s">
        <v>929</v>
      </c>
      <c r="E222" s="876" t="s">
        <v>930</v>
      </c>
      <c r="F222" s="877"/>
      <c r="G222" s="773" t="s">
        <v>909</v>
      </c>
      <c r="H222" s="2037" t="s">
        <v>931</v>
      </c>
      <c r="I222" s="773"/>
      <c r="J222" s="2001"/>
      <c r="K222" s="2001"/>
      <c r="L222" s="71"/>
      <c r="M222" s="773"/>
      <c r="N222" s="2001"/>
      <c r="O222" s="773"/>
      <c r="P222" s="2001">
        <v>128000</v>
      </c>
      <c r="Q222" s="2001">
        <v>135200</v>
      </c>
      <c r="R222" s="71"/>
      <c r="S222" s="2001"/>
      <c r="T222" s="773"/>
      <c r="U222" s="1493" t="s">
        <v>867</v>
      </c>
    </row>
    <row r="223" spans="1:21" s="863" customFormat="1" ht="37.5">
      <c r="A223" s="2028"/>
      <c r="B223" s="2031"/>
      <c r="C223" s="2031"/>
      <c r="D223" s="2033"/>
      <c r="E223" s="819" t="s">
        <v>932</v>
      </c>
      <c r="F223" s="877">
        <v>24000</v>
      </c>
      <c r="G223" s="773"/>
      <c r="H223" s="2038"/>
      <c r="I223" s="773"/>
      <c r="J223" s="2001"/>
      <c r="K223" s="2001"/>
      <c r="L223" s="71"/>
      <c r="M223" s="773"/>
      <c r="N223" s="2001"/>
      <c r="O223" s="773"/>
      <c r="P223" s="2001"/>
      <c r="Q223" s="2001"/>
      <c r="R223" s="71"/>
      <c r="S223" s="2001"/>
      <c r="T223" s="773"/>
      <c r="U223" s="1473"/>
    </row>
    <row r="224" spans="1:21" s="863" customFormat="1" ht="37.5">
      <c r="A224" s="2028"/>
      <c r="B224" s="2031"/>
      <c r="C224" s="2031"/>
      <c r="D224" s="2033"/>
      <c r="E224" s="853" t="s">
        <v>933</v>
      </c>
      <c r="F224" s="818">
        <v>12000</v>
      </c>
      <c r="G224" s="785"/>
      <c r="H224" s="2038"/>
      <c r="I224" s="785"/>
      <c r="J224" s="2001"/>
      <c r="K224" s="2001"/>
      <c r="L224" s="71"/>
      <c r="M224" s="785"/>
      <c r="N224" s="2001"/>
      <c r="O224" s="785"/>
      <c r="P224" s="2001"/>
      <c r="Q224" s="2001"/>
      <c r="R224" s="71"/>
      <c r="S224" s="2001"/>
      <c r="T224" s="785"/>
      <c r="U224" s="1473"/>
    </row>
    <row r="225" spans="1:21" s="863" customFormat="1">
      <c r="A225" s="2028"/>
      <c r="B225" s="2031"/>
      <c r="C225" s="2031"/>
      <c r="D225" s="2033"/>
      <c r="E225" s="853" t="s">
        <v>934</v>
      </c>
      <c r="F225" s="818">
        <v>15000</v>
      </c>
      <c r="G225" s="765"/>
      <c r="H225" s="2038"/>
      <c r="I225" s="765"/>
      <c r="J225" s="2001"/>
      <c r="K225" s="2001"/>
      <c r="L225" s="71"/>
      <c r="M225" s="765"/>
      <c r="N225" s="2001"/>
      <c r="O225" s="765"/>
      <c r="P225" s="2001"/>
      <c r="Q225" s="2001"/>
      <c r="R225" s="71"/>
      <c r="S225" s="2001"/>
      <c r="T225" s="765"/>
      <c r="U225" s="765"/>
    </row>
    <row r="226" spans="1:21" s="863" customFormat="1">
      <c r="A226" s="2028"/>
      <c r="B226" s="854"/>
      <c r="C226" s="785"/>
      <c r="D226" s="855"/>
      <c r="E226" s="878" t="s">
        <v>887</v>
      </c>
      <c r="F226" s="886">
        <v>17000</v>
      </c>
      <c r="G226" s="765"/>
      <c r="H226" s="765"/>
      <c r="I226" s="765"/>
      <c r="J226" s="765"/>
      <c r="K226" s="765"/>
      <c r="L226" s="786"/>
      <c r="M226" s="765"/>
      <c r="N226" s="765"/>
      <c r="O226" s="765"/>
      <c r="P226" s="765"/>
      <c r="Q226" s="765"/>
      <c r="R226" s="786"/>
      <c r="S226" s="765"/>
      <c r="T226" s="765"/>
      <c r="U226" s="765"/>
    </row>
    <row r="227" spans="1:21" s="863" customFormat="1">
      <c r="A227" s="853"/>
      <c r="B227" s="854"/>
      <c r="C227" s="785"/>
      <c r="D227" s="855"/>
      <c r="E227" s="344" t="s">
        <v>935</v>
      </c>
      <c r="F227" s="886">
        <v>15000</v>
      </c>
      <c r="G227" s="765"/>
      <c r="H227" s="765"/>
      <c r="I227" s="765"/>
      <c r="J227" s="765"/>
      <c r="K227" s="765"/>
      <c r="L227" s="786"/>
      <c r="M227" s="765"/>
      <c r="N227" s="765"/>
      <c r="O227" s="765"/>
      <c r="P227" s="765"/>
      <c r="Q227" s="765"/>
      <c r="R227" s="786"/>
      <c r="S227" s="765"/>
      <c r="T227" s="765"/>
      <c r="U227" s="765"/>
    </row>
    <row r="228" spans="1:21" s="863" customFormat="1" ht="37.5">
      <c r="A228" s="853"/>
      <c r="B228" s="854"/>
      <c r="C228" s="785"/>
      <c r="D228" s="855"/>
      <c r="E228" s="344" t="s">
        <v>936</v>
      </c>
      <c r="F228" s="886">
        <v>42000</v>
      </c>
      <c r="G228" s="765"/>
      <c r="H228" s="765"/>
      <c r="I228" s="765"/>
      <c r="J228" s="765"/>
      <c r="K228" s="765"/>
      <c r="L228" s="786"/>
      <c r="M228" s="765"/>
      <c r="N228" s="765"/>
      <c r="O228" s="765"/>
      <c r="P228" s="765"/>
      <c r="Q228" s="765"/>
      <c r="R228" s="786"/>
      <c r="S228" s="765"/>
      <c r="T228" s="765"/>
      <c r="U228" s="765"/>
    </row>
    <row r="229" spans="1:21" s="863" customFormat="1" ht="37.5">
      <c r="A229" s="853"/>
      <c r="B229" s="854"/>
      <c r="C229" s="785"/>
      <c r="D229" s="855"/>
      <c r="E229" s="887" t="s">
        <v>937</v>
      </c>
      <c r="F229" s="888">
        <v>6000</v>
      </c>
      <c r="G229" s="765"/>
      <c r="H229" s="765"/>
      <c r="I229" s="765"/>
      <c r="J229" s="765"/>
      <c r="K229" s="765"/>
      <c r="L229" s="786"/>
      <c r="M229" s="765"/>
      <c r="N229" s="765"/>
      <c r="O229" s="765"/>
      <c r="P229" s="765"/>
      <c r="Q229" s="765"/>
      <c r="R229" s="786"/>
      <c r="S229" s="765"/>
      <c r="T229" s="765"/>
      <c r="U229" s="765"/>
    </row>
    <row r="230" spans="1:21" s="863" customFormat="1" ht="56.25">
      <c r="A230" s="853"/>
      <c r="B230" s="854"/>
      <c r="C230" s="785"/>
      <c r="D230" s="855"/>
      <c r="E230" s="887" t="s">
        <v>913</v>
      </c>
      <c r="F230" s="888">
        <v>4200</v>
      </c>
      <c r="G230" s="765"/>
      <c r="H230" s="765"/>
      <c r="I230" s="765"/>
      <c r="J230" s="765"/>
      <c r="K230" s="765"/>
      <c r="L230" s="786"/>
      <c r="M230" s="765"/>
      <c r="N230" s="765"/>
      <c r="O230" s="765"/>
      <c r="P230" s="765"/>
      <c r="Q230" s="765"/>
      <c r="R230" s="786"/>
      <c r="S230" s="765"/>
      <c r="T230" s="765"/>
      <c r="U230" s="765"/>
    </row>
    <row r="231" spans="1:21" s="863" customFormat="1">
      <c r="A231" s="853"/>
      <c r="B231" s="854"/>
      <c r="C231" s="785"/>
      <c r="D231" s="855"/>
      <c r="E231" s="889" t="s">
        <v>938</v>
      </c>
      <c r="F231" s="888"/>
      <c r="G231" s="765"/>
      <c r="H231" s="765"/>
      <c r="I231" s="765"/>
      <c r="J231" s="765"/>
      <c r="K231" s="765"/>
      <c r="L231" s="786"/>
      <c r="M231" s="765"/>
      <c r="N231" s="765"/>
      <c r="O231" s="765"/>
      <c r="P231" s="765"/>
      <c r="Q231" s="765"/>
      <c r="R231" s="786"/>
      <c r="S231" s="765"/>
      <c r="T231" s="765"/>
      <c r="U231" s="765"/>
    </row>
    <row r="232" spans="1:21" s="863" customFormat="1" ht="37.5">
      <c r="A232" s="853"/>
      <c r="B232" s="854"/>
      <c r="C232" s="785"/>
      <c r="D232" s="855"/>
      <c r="E232" s="819" t="s">
        <v>939</v>
      </c>
      <c r="F232" s="888">
        <v>32000</v>
      </c>
      <c r="G232" s="765"/>
      <c r="H232" s="765"/>
      <c r="I232" s="765"/>
      <c r="J232" s="765"/>
      <c r="K232" s="765"/>
      <c r="L232" s="786"/>
      <c r="M232" s="765"/>
      <c r="N232" s="765"/>
      <c r="O232" s="765"/>
      <c r="P232" s="765"/>
      <c r="Q232" s="765"/>
      <c r="R232" s="786"/>
      <c r="S232" s="765"/>
      <c r="T232" s="801"/>
      <c r="U232" s="765"/>
    </row>
    <row r="233" spans="1:21" s="863" customFormat="1" ht="37.5">
      <c r="A233" s="853"/>
      <c r="B233" s="854"/>
      <c r="C233" s="785"/>
      <c r="D233" s="855"/>
      <c r="E233" s="853" t="s">
        <v>940</v>
      </c>
      <c r="F233" s="888">
        <v>16000</v>
      </c>
      <c r="G233" s="765"/>
      <c r="H233" s="765"/>
      <c r="I233" s="765"/>
      <c r="J233" s="765"/>
      <c r="K233" s="765"/>
      <c r="L233" s="786"/>
      <c r="M233" s="765"/>
      <c r="N233" s="765"/>
      <c r="O233" s="765"/>
      <c r="P233" s="765"/>
      <c r="Q233" s="765"/>
      <c r="R233" s="786"/>
      <c r="S233" s="765"/>
      <c r="T233" s="801"/>
      <c r="U233" s="765"/>
    </row>
    <row r="234" spans="1:21" s="863" customFormat="1" ht="56.25">
      <c r="A234" s="853"/>
      <c r="B234" s="854"/>
      <c r="C234" s="785"/>
      <c r="D234" s="855"/>
      <c r="E234" s="890" t="s">
        <v>941</v>
      </c>
      <c r="F234" s="888">
        <v>50000</v>
      </c>
      <c r="G234" s="891"/>
      <c r="H234" s="891"/>
      <c r="I234" s="765"/>
      <c r="J234" s="765"/>
      <c r="K234" s="765"/>
      <c r="L234" s="786"/>
      <c r="M234" s="765"/>
      <c r="N234" s="765"/>
      <c r="O234" s="765"/>
      <c r="P234" s="765"/>
      <c r="Q234" s="765"/>
      <c r="R234" s="786"/>
      <c r="S234" s="765"/>
      <c r="T234" s="801"/>
      <c r="U234" s="765"/>
    </row>
    <row r="235" spans="1:21" s="863" customFormat="1" ht="37.5">
      <c r="A235" s="853"/>
      <c r="B235" s="854"/>
      <c r="C235" s="785"/>
      <c r="D235" s="855"/>
      <c r="E235" s="890" t="s">
        <v>942</v>
      </c>
      <c r="F235" s="888">
        <v>30000</v>
      </c>
      <c r="G235" s="891"/>
      <c r="H235" s="891"/>
      <c r="I235" s="765"/>
      <c r="J235" s="765"/>
      <c r="K235" s="765"/>
      <c r="L235" s="786"/>
      <c r="M235" s="765"/>
      <c r="N235" s="765"/>
      <c r="O235" s="765"/>
      <c r="P235" s="765"/>
      <c r="Q235" s="765"/>
      <c r="R235" s="786"/>
      <c r="S235" s="765"/>
      <c r="T235" s="801"/>
      <c r="U235" s="765"/>
    </row>
    <row r="236" spans="1:21" s="863" customFormat="1">
      <c r="A236" s="800"/>
      <c r="B236" s="858"/>
      <c r="C236" s="800"/>
      <c r="D236" s="859"/>
      <c r="E236" s="882" t="s">
        <v>702</v>
      </c>
      <c r="F236" s="892">
        <f>SUM(F222:F235)</f>
        <v>263200</v>
      </c>
      <c r="G236" s="893"/>
      <c r="H236" s="306"/>
      <c r="I236" s="760"/>
      <c r="J236" s="760"/>
      <c r="K236" s="760"/>
      <c r="L236" s="789"/>
      <c r="M236" s="760"/>
      <c r="N236" s="760"/>
      <c r="O236" s="760"/>
      <c r="P236" s="760"/>
      <c r="Q236" s="760"/>
      <c r="R236" s="789"/>
      <c r="S236" s="760"/>
      <c r="T236" s="790"/>
      <c r="U236" s="862"/>
    </row>
    <row r="237" spans="1:21" s="863" customFormat="1" ht="56.25">
      <c r="A237" s="2027" t="s">
        <v>943</v>
      </c>
      <c r="B237" s="2031" t="s">
        <v>944</v>
      </c>
      <c r="C237" s="2031" t="s">
        <v>945</v>
      </c>
      <c r="D237" s="2027" t="s">
        <v>946</v>
      </c>
      <c r="E237" s="894" t="s">
        <v>947</v>
      </c>
      <c r="F237" s="895">
        <v>15000</v>
      </c>
      <c r="G237" s="773" t="s">
        <v>909</v>
      </c>
      <c r="H237" s="2037">
        <v>22828</v>
      </c>
      <c r="I237" s="773"/>
      <c r="J237" s="2001"/>
      <c r="K237" s="2001"/>
      <c r="L237" s="71"/>
      <c r="M237" s="773"/>
      <c r="N237" s="2001"/>
      <c r="O237" s="773"/>
      <c r="P237" s="2001"/>
      <c r="Q237" s="2001"/>
      <c r="R237" s="71">
        <v>531480</v>
      </c>
      <c r="S237" s="2001"/>
      <c r="T237" s="773"/>
      <c r="U237" s="1493" t="s">
        <v>867</v>
      </c>
    </row>
    <row r="238" spans="1:21" s="863" customFormat="1" ht="37.5">
      <c r="A238" s="2028"/>
      <c r="B238" s="2031"/>
      <c r="C238" s="2031"/>
      <c r="D238" s="2028"/>
      <c r="E238" s="819" t="s">
        <v>948</v>
      </c>
      <c r="F238" s="895">
        <v>1980</v>
      </c>
      <c r="G238" s="773"/>
      <c r="H238" s="2038"/>
      <c r="I238" s="773"/>
      <c r="J238" s="2001"/>
      <c r="K238" s="2001"/>
      <c r="L238" s="71"/>
      <c r="M238" s="773"/>
      <c r="N238" s="2001"/>
      <c r="O238" s="773"/>
      <c r="P238" s="2001"/>
      <c r="Q238" s="2001"/>
      <c r="R238" s="71"/>
      <c r="S238" s="2001"/>
      <c r="T238" s="773"/>
      <c r="U238" s="1473"/>
    </row>
    <row r="239" spans="1:21" s="863" customFormat="1" ht="56.25">
      <c r="A239" s="2028"/>
      <c r="B239" s="2031"/>
      <c r="C239" s="2031"/>
      <c r="D239" s="2028"/>
      <c r="E239" s="853" t="s">
        <v>949</v>
      </c>
      <c r="F239" s="818">
        <v>147000</v>
      </c>
      <c r="G239" s="785"/>
      <c r="H239" s="2038"/>
      <c r="I239" s="785"/>
      <c r="J239" s="2001"/>
      <c r="K239" s="2001"/>
      <c r="L239" s="71"/>
      <c r="M239" s="785"/>
      <c r="N239" s="2001"/>
      <c r="O239" s="785"/>
      <c r="P239" s="2001"/>
      <c r="Q239" s="2001"/>
      <c r="R239" s="71"/>
      <c r="S239" s="2001"/>
      <c r="T239" s="785"/>
      <c r="U239" s="1473"/>
    </row>
    <row r="240" spans="1:21" s="863" customFormat="1" ht="56.25">
      <c r="A240" s="2028"/>
      <c r="B240" s="2031"/>
      <c r="C240" s="2031"/>
      <c r="D240" s="2028"/>
      <c r="E240" s="853" t="s">
        <v>950</v>
      </c>
      <c r="F240" s="818">
        <v>175500</v>
      </c>
      <c r="G240" s="765"/>
      <c r="H240" s="2038"/>
      <c r="I240" s="765"/>
      <c r="J240" s="2001"/>
      <c r="K240" s="2001"/>
      <c r="L240" s="71"/>
      <c r="M240" s="765"/>
      <c r="N240" s="2001"/>
      <c r="O240" s="765"/>
      <c r="P240" s="2001"/>
      <c r="Q240" s="2001"/>
      <c r="R240" s="71"/>
      <c r="S240" s="2001"/>
      <c r="T240" s="765"/>
      <c r="U240" s="765"/>
    </row>
    <row r="241" spans="1:21" s="863" customFormat="1" ht="56.25">
      <c r="A241" s="2028"/>
      <c r="B241" s="854"/>
      <c r="C241" s="785"/>
      <c r="D241" s="2028"/>
      <c r="E241" s="344" t="s">
        <v>951</v>
      </c>
      <c r="F241" s="886">
        <v>96000</v>
      </c>
      <c r="G241" s="765"/>
      <c r="H241" s="765"/>
      <c r="I241" s="765"/>
      <c r="J241" s="765"/>
      <c r="K241" s="765"/>
      <c r="L241" s="786"/>
      <c r="M241" s="765"/>
      <c r="N241" s="765"/>
      <c r="O241" s="765"/>
      <c r="P241" s="765"/>
      <c r="Q241" s="765"/>
      <c r="R241" s="786"/>
      <c r="S241" s="765"/>
      <c r="T241" s="765"/>
      <c r="U241" s="765"/>
    </row>
    <row r="242" spans="1:21" s="863" customFormat="1" ht="56.25">
      <c r="A242" s="853"/>
      <c r="B242" s="854"/>
      <c r="C242" s="785"/>
      <c r="D242" s="2028"/>
      <c r="E242" s="344" t="s">
        <v>952</v>
      </c>
      <c r="F242" s="886">
        <v>96000</v>
      </c>
      <c r="G242" s="765"/>
      <c r="H242" s="765"/>
      <c r="I242" s="765"/>
      <c r="J242" s="765"/>
      <c r="K242" s="765"/>
      <c r="L242" s="786"/>
      <c r="M242" s="765"/>
      <c r="N242" s="765"/>
      <c r="O242" s="765"/>
      <c r="P242" s="765"/>
      <c r="Q242" s="765"/>
      <c r="R242" s="786"/>
      <c r="S242" s="765"/>
      <c r="T242" s="765"/>
      <c r="U242" s="765"/>
    </row>
    <row r="243" spans="1:21" s="863" customFormat="1">
      <c r="A243" s="800"/>
      <c r="B243" s="858"/>
      <c r="C243" s="800"/>
      <c r="D243" s="859"/>
      <c r="E243" s="896" t="s">
        <v>702</v>
      </c>
      <c r="F243" s="897">
        <f>SUM(F237:F242)</f>
        <v>531480</v>
      </c>
      <c r="G243" s="893"/>
      <c r="H243" s="306"/>
      <c r="I243" s="760"/>
      <c r="J243" s="760"/>
      <c r="K243" s="760"/>
      <c r="L243" s="789"/>
      <c r="M243" s="760"/>
      <c r="N243" s="760"/>
      <c r="O243" s="760"/>
      <c r="P243" s="760"/>
      <c r="Q243" s="760"/>
      <c r="R243" s="789"/>
      <c r="S243" s="760"/>
      <c r="T243" s="790"/>
      <c r="U243" s="862"/>
    </row>
    <row r="244" spans="1:21" s="863" customFormat="1" ht="38.25">
      <c r="A244" s="2027" t="s">
        <v>953</v>
      </c>
      <c r="B244" s="2031" t="s">
        <v>944</v>
      </c>
      <c r="C244" s="2031" t="s">
        <v>945</v>
      </c>
      <c r="D244" s="2027" t="s">
        <v>946</v>
      </c>
      <c r="E244" s="898" t="s">
        <v>954</v>
      </c>
      <c r="F244" s="899">
        <v>5000</v>
      </c>
      <c r="G244" s="915" t="s">
        <v>721</v>
      </c>
      <c r="H244" s="2037">
        <v>22828</v>
      </c>
      <c r="I244" s="773"/>
      <c r="J244" s="2001"/>
      <c r="K244" s="2001"/>
      <c r="L244" s="71"/>
      <c r="M244" s="773"/>
      <c r="N244" s="2001"/>
      <c r="O244" s="773"/>
      <c r="P244" s="2001"/>
      <c r="Q244" s="2001"/>
      <c r="R244" s="1988">
        <v>64040</v>
      </c>
      <c r="S244" s="2001"/>
      <c r="T244" s="773"/>
      <c r="U244" s="1493" t="s">
        <v>867</v>
      </c>
    </row>
    <row r="245" spans="1:21" s="863" customFormat="1" ht="33">
      <c r="A245" s="2028"/>
      <c r="B245" s="2031"/>
      <c r="C245" s="2031"/>
      <c r="D245" s="2028"/>
      <c r="E245" s="900" t="s">
        <v>955</v>
      </c>
      <c r="F245" s="901">
        <v>5040</v>
      </c>
      <c r="G245" s="773"/>
      <c r="H245" s="2040"/>
      <c r="I245" s="773"/>
      <c r="J245" s="2001"/>
      <c r="K245" s="2001"/>
      <c r="L245" s="71"/>
      <c r="M245" s="773"/>
      <c r="N245" s="2001"/>
      <c r="O245" s="773"/>
      <c r="P245" s="2001"/>
      <c r="Q245" s="2001"/>
      <c r="R245" s="1988"/>
      <c r="S245" s="2001"/>
      <c r="T245" s="773"/>
      <c r="U245" s="1473"/>
    </row>
    <row r="246" spans="1:21" s="863" customFormat="1" ht="37.5">
      <c r="A246" s="2028"/>
      <c r="B246" s="2031"/>
      <c r="C246" s="2031"/>
      <c r="D246" s="2028"/>
      <c r="E246" s="853" t="s">
        <v>956</v>
      </c>
      <c r="F246" s="818">
        <v>24000</v>
      </c>
      <c r="G246" s="785"/>
      <c r="H246" s="2040"/>
      <c r="I246" s="785"/>
      <c r="J246" s="2001"/>
      <c r="K246" s="2001"/>
      <c r="L246" s="71"/>
      <c r="M246" s="785"/>
      <c r="N246" s="2001"/>
      <c r="O246" s="785"/>
      <c r="P246" s="2001"/>
      <c r="Q246" s="2001"/>
      <c r="R246" s="71"/>
      <c r="S246" s="2001"/>
      <c r="T246" s="785"/>
      <c r="U246" s="1473"/>
    </row>
    <row r="247" spans="1:21" s="863" customFormat="1">
      <c r="A247" s="2028"/>
      <c r="B247" s="2031"/>
      <c r="C247" s="2031"/>
      <c r="D247" s="853"/>
      <c r="E247" s="853" t="s">
        <v>957</v>
      </c>
      <c r="F247" s="818"/>
      <c r="G247" s="765"/>
      <c r="H247" s="2040"/>
      <c r="I247" s="765"/>
      <c r="J247" s="2001"/>
      <c r="K247" s="2001"/>
      <c r="L247" s="71"/>
      <c r="M247" s="765"/>
      <c r="N247" s="2001"/>
      <c r="O247" s="765"/>
      <c r="P247" s="2001"/>
      <c r="Q247" s="2001"/>
      <c r="R247" s="71"/>
      <c r="S247" s="2001"/>
      <c r="T247" s="765"/>
      <c r="U247" s="765"/>
    </row>
    <row r="248" spans="1:21" s="863" customFormat="1" ht="37.5">
      <c r="A248" s="2028"/>
      <c r="B248" s="854"/>
      <c r="C248" s="785"/>
      <c r="D248" s="853"/>
      <c r="E248" s="344" t="s">
        <v>958</v>
      </c>
      <c r="F248" s="886">
        <v>8000</v>
      </c>
      <c r="G248" s="765"/>
      <c r="H248" s="765"/>
      <c r="I248" s="765"/>
      <c r="J248" s="765"/>
      <c r="K248" s="765"/>
      <c r="L248" s="786"/>
      <c r="M248" s="765"/>
      <c r="N248" s="765"/>
      <c r="O248" s="765"/>
      <c r="P248" s="765"/>
      <c r="Q248" s="765"/>
      <c r="R248" s="786"/>
      <c r="S248" s="765"/>
      <c r="T248" s="765"/>
      <c r="U248" s="765"/>
    </row>
    <row r="249" spans="1:21" s="863" customFormat="1" ht="37.5">
      <c r="A249" s="785"/>
      <c r="B249" s="854"/>
      <c r="C249" s="785"/>
      <c r="D249" s="853"/>
      <c r="E249" s="344" t="s">
        <v>959</v>
      </c>
      <c r="F249" s="886">
        <v>4000</v>
      </c>
      <c r="G249" s="765"/>
      <c r="H249" s="765"/>
      <c r="I249" s="765"/>
      <c r="J249" s="765"/>
      <c r="K249" s="765"/>
      <c r="L249" s="786"/>
      <c r="M249" s="765"/>
      <c r="N249" s="765"/>
      <c r="O249" s="765"/>
      <c r="P249" s="765"/>
      <c r="Q249" s="765"/>
      <c r="R249" s="786"/>
      <c r="S249" s="765"/>
      <c r="T249" s="765"/>
      <c r="U249" s="765"/>
    </row>
    <row r="250" spans="1:21" s="863" customFormat="1" ht="37.5">
      <c r="A250" s="785"/>
      <c r="B250" s="854"/>
      <c r="C250" s="785"/>
      <c r="D250" s="853"/>
      <c r="E250" s="344" t="s">
        <v>960</v>
      </c>
      <c r="F250" s="886">
        <v>18000</v>
      </c>
      <c r="G250" s="765"/>
      <c r="H250" s="765"/>
      <c r="I250" s="765"/>
      <c r="J250" s="765"/>
      <c r="K250" s="765"/>
      <c r="L250" s="786"/>
      <c r="M250" s="765"/>
      <c r="N250" s="765"/>
      <c r="O250" s="765"/>
      <c r="P250" s="765"/>
      <c r="Q250" s="765"/>
      <c r="R250" s="786"/>
      <c r="S250" s="765"/>
      <c r="T250" s="765"/>
      <c r="U250" s="765"/>
    </row>
    <row r="251" spans="1:21" s="863" customFormat="1">
      <c r="A251" s="785"/>
      <c r="B251" s="854"/>
      <c r="C251" s="785"/>
      <c r="D251" s="853"/>
      <c r="E251" s="344"/>
      <c r="F251" s="886"/>
      <c r="G251" s="765"/>
      <c r="H251" s="765"/>
      <c r="I251" s="765"/>
      <c r="J251" s="765"/>
      <c r="K251" s="765"/>
      <c r="L251" s="786"/>
      <c r="M251" s="765"/>
      <c r="N251" s="765"/>
      <c r="O251" s="765"/>
      <c r="P251" s="765"/>
      <c r="Q251" s="765"/>
      <c r="R251" s="786"/>
      <c r="S251" s="765"/>
      <c r="T251" s="765"/>
      <c r="U251" s="765"/>
    </row>
    <row r="252" spans="1:21" s="863" customFormat="1">
      <c r="A252" s="306"/>
      <c r="B252" s="858"/>
      <c r="C252" s="800"/>
      <c r="D252" s="306"/>
      <c r="E252" s="758" t="s">
        <v>702</v>
      </c>
      <c r="F252" s="902">
        <f>SUM(F244:F251)</f>
        <v>64040</v>
      </c>
      <c r="G252" s="770"/>
      <c r="H252" s="770"/>
      <c r="I252" s="770"/>
      <c r="J252" s="770"/>
      <c r="K252" s="770"/>
      <c r="L252" s="789"/>
      <c r="M252" s="770"/>
      <c r="N252" s="770"/>
      <c r="O252" s="770"/>
      <c r="P252" s="770"/>
      <c r="Q252" s="770"/>
      <c r="R252" s="789"/>
      <c r="S252" s="770"/>
      <c r="T252" s="770"/>
      <c r="U252" s="770"/>
    </row>
    <row r="253" spans="1:21" s="863" customFormat="1">
      <c r="A253" s="1997" t="s">
        <v>961</v>
      </c>
      <c r="B253" s="1998"/>
      <c r="C253" s="1998"/>
      <c r="D253" s="1998"/>
      <c r="E253" s="1998"/>
      <c r="F253" s="1998"/>
      <c r="G253" s="1998"/>
      <c r="H253" s="1998"/>
      <c r="I253" s="1998"/>
      <c r="J253" s="1998"/>
      <c r="K253" s="1998"/>
      <c r="L253" s="1998"/>
      <c r="M253" s="1998"/>
      <c r="N253" s="1998"/>
      <c r="O253" s="1998"/>
      <c r="P253" s="1998"/>
      <c r="Q253" s="1998"/>
      <c r="R253" s="1998"/>
      <c r="S253" s="1998"/>
      <c r="T253" s="1999"/>
      <c r="U253" s="872"/>
    </row>
    <row r="254" spans="1:21" s="863" customFormat="1" ht="37.5">
      <c r="A254" s="2027" t="s">
        <v>962</v>
      </c>
      <c r="B254" s="2031" t="s">
        <v>963</v>
      </c>
      <c r="C254" s="2031" t="s">
        <v>964</v>
      </c>
      <c r="D254" s="2027" t="s">
        <v>965</v>
      </c>
      <c r="E254" s="819" t="s">
        <v>966</v>
      </c>
      <c r="F254" s="877">
        <v>5600</v>
      </c>
      <c r="G254" s="915" t="s">
        <v>691</v>
      </c>
      <c r="H254" s="2037" t="s">
        <v>967</v>
      </c>
      <c r="I254" s="773"/>
      <c r="J254" s="2001">
        <v>10520</v>
      </c>
      <c r="K254" s="2001"/>
      <c r="L254" s="71"/>
      <c r="M254" s="773"/>
      <c r="N254" s="2001"/>
      <c r="O254" s="2001">
        <v>3400</v>
      </c>
      <c r="P254" s="2001"/>
      <c r="Q254" s="2001">
        <v>3420</v>
      </c>
      <c r="R254" s="71"/>
      <c r="S254" s="2001"/>
      <c r="T254" s="773"/>
      <c r="U254" s="1493" t="s">
        <v>867</v>
      </c>
    </row>
    <row r="255" spans="1:21" s="863" customFormat="1" ht="37.5">
      <c r="A255" s="2028"/>
      <c r="B255" s="2031"/>
      <c r="C255" s="2031"/>
      <c r="D255" s="2028"/>
      <c r="E255" s="853" t="s">
        <v>968</v>
      </c>
      <c r="F255" s="818">
        <v>4200</v>
      </c>
      <c r="G255" s="773"/>
      <c r="H255" s="2038"/>
      <c r="I255" s="773"/>
      <c r="J255" s="2001"/>
      <c r="K255" s="2001"/>
      <c r="L255" s="71"/>
      <c r="M255" s="773"/>
      <c r="N255" s="2001"/>
      <c r="O255" s="2001"/>
      <c r="P255" s="2001"/>
      <c r="Q255" s="2001"/>
      <c r="R255" s="71"/>
      <c r="S255" s="2001"/>
      <c r="T255" s="773"/>
      <c r="U255" s="1473"/>
    </row>
    <row r="256" spans="1:21" s="863" customFormat="1" ht="56.25">
      <c r="A256" s="2028"/>
      <c r="B256" s="2031"/>
      <c r="C256" s="2031"/>
      <c r="D256" s="2028"/>
      <c r="E256" s="903" t="s">
        <v>969</v>
      </c>
      <c r="F256" s="901">
        <v>5040</v>
      </c>
      <c r="G256" s="785"/>
      <c r="H256" s="2038"/>
      <c r="I256" s="785"/>
      <c r="J256" s="2001"/>
      <c r="K256" s="2001"/>
      <c r="L256" s="71"/>
      <c r="M256" s="785"/>
      <c r="N256" s="2001"/>
      <c r="O256" s="2001"/>
      <c r="P256" s="2001"/>
      <c r="Q256" s="2001"/>
      <c r="R256" s="71"/>
      <c r="S256" s="2001"/>
      <c r="T256" s="785"/>
      <c r="U256" s="1473"/>
    </row>
    <row r="257" spans="1:21" s="863" customFormat="1">
      <c r="A257" s="2028"/>
      <c r="B257" s="2031"/>
      <c r="C257" s="2031"/>
      <c r="D257" s="2028"/>
      <c r="E257" s="853" t="s">
        <v>131</v>
      </c>
      <c r="F257" s="818">
        <v>2500</v>
      </c>
      <c r="G257" s="765"/>
      <c r="H257" s="2038"/>
      <c r="I257" s="765"/>
      <c r="J257" s="2001"/>
      <c r="K257" s="2001"/>
      <c r="L257" s="71"/>
      <c r="M257" s="765"/>
      <c r="N257" s="2001"/>
      <c r="O257" s="2001"/>
      <c r="P257" s="2001"/>
      <c r="Q257" s="2001"/>
      <c r="R257" s="71"/>
      <c r="S257" s="2001"/>
      <c r="T257" s="765"/>
      <c r="U257" s="765"/>
    </row>
    <row r="258" spans="1:21" s="863" customFormat="1">
      <c r="A258" s="2028"/>
      <c r="B258" s="854"/>
      <c r="C258" s="785"/>
      <c r="D258" s="2028"/>
      <c r="E258" s="344"/>
      <c r="F258" s="886"/>
      <c r="G258" s="765"/>
      <c r="H258" s="765"/>
      <c r="I258" s="765"/>
      <c r="J258" s="765"/>
      <c r="K258" s="765"/>
      <c r="L258" s="786"/>
      <c r="M258" s="765"/>
      <c r="N258" s="765"/>
      <c r="O258" s="765"/>
      <c r="P258" s="765"/>
      <c r="Q258" s="765"/>
      <c r="R258" s="786"/>
      <c r="S258" s="765"/>
      <c r="T258" s="765"/>
      <c r="U258" s="765"/>
    </row>
    <row r="259" spans="1:21" s="863" customFormat="1">
      <c r="A259" s="306"/>
      <c r="B259" s="858"/>
      <c r="C259" s="800"/>
      <c r="D259" s="306"/>
      <c r="E259" s="758" t="s">
        <v>702</v>
      </c>
      <c r="F259" s="902">
        <f>SUM(F254:F258)</f>
        <v>17340</v>
      </c>
      <c r="G259" s="770"/>
      <c r="H259" s="770"/>
      <c r="I259" s="770"/>
      <c r="J259" s="770"/>
      <c r="K259" s="770"/>
      <c r="L259" s="789"/>
      <c r="M259" s="770"/>
      <c r="N259" s="770"/>
      <c r="O259" s="770"/>
      <c r="P259" s="770"/>
      <c r="Q259" s="770"/>
      <c r="R259" s="789"/>
      <c r="S259" s="770"/>
      <c r="T259" s="770"/>
      <c r="U259" s="770"/>
    </row>
    <row r="260" spans="1:21" s="863" customFormat="1" ht="37.5">
      <c r="A260" s="2027" t="s">
        <v>970</v>
      </c>
      <c r="B260" s="2030" t="s">
        <v>971</v>
      </c>
      <c r="C260" s="2030" t="s">
        <v>964</v>
      </c>
      <c r="D260" s="2027" t="s">
        <v>972</v>
      </c>
      <c r="E260" s="824" t="s">
        <v>973</v>
      </c>
      <c r="F260" s="885">
        <v>3200</v>
      </c>
      <c r="G260" s="914" t="s">
        <v>691</v>
      </c>
      <c r="H260" s="2037" t="s">
        <v>967</v>
      </c>
      <c r="I260" s="791"/>
      <c r="J260" s="2000">
        <v>2000</v>
      </c>
      <c r="K260" s="2000"/>
      <c r="L260" s="759"/>
      <c r="M260" s="791"/>
      <c r="N260" s="2000"/>
      <c r="O260" s="791"/>
      <c r="P260" s="2000">
        <v>2000</v>
      </c>
      <c r="Q260" s="2000">
        <v>2900</v>
      </c>
      <c r="R260" s="759"/>
      <c r="S260" s="2000"/>
      <c r="T260" s="791"/>
      <c r="U260" s="1493" t="s">
        <v>867</v>
      </c>
    </row>
    <row r="261" spans="1:21" s="863" customFormat="1" ht="37.5">
      <c r="A261" s="2028"/>
      <c r="B261" s="2031"/>
      <c r="C261" s="2031"/>
      <c r="D261" s="2028"/>
      <c r="E261" s="853" t="s">
        <v>974</v>
      </c>
      <c r="F261" s="818">
        <v>1200</v>
      </c>
      <c r="G261" s="773"/>
      <c r="H261" s="2038"/>
      <c r="I261" s="773"/>
      <c r="J261" s="2001"/>
      <c r="K261" s="2001"/>
      <c r="L261" s="71"/>
      <c r="M261" s="773"/>
      <c r="N261" s="2001"/>
      <c r="O261" s="773"/>
      <c r="P261" s="2001"/>
      <c r="Q261" s="2001"/>
      <c r="R261" s="71"/>
      <c r="S261" s="2001"/>
      <c r="T261" s="773"/>
      <c r="U261" s="1473"/>
    </row>
    <row r="262" spans="1:21">
      <c r="A262" s="2028"/>
      <c r="B262" s="2031"/>
      <c r="C262" s="2031"/>
      <c r="D262" s="2028"/>
      <c r="E262" s="853" t="s">
        <v>131</v>
      </c>
      <c r="F262" s="818">
        <v>2500</v>
      </c>
      <c r="G262" s="765"/>
      <c r="H262" s="2038"/>
      <c r="I262" s="765"/>
      <c r="J262" s="2001"/>
      <c r="K262" s="2001"/>
      <c r="L262" s="71"/>
      <c r="M262" s="765"/>
      <c r="N262" s="2001"/>
      <c r="O262" s="765"/>
      <c r="P262" s="2001"/>
      <c r="Q262" s="2001"/>
      <c r="R262" s="71"/>
      <c r="S262" s="2001"/>
      <c r="T262" s="765"/>
      <c r="U262" s="765"/>
    </row>
    <row r="263" spans="1:21">
      <c r="A263" s="2028"/>
      <c r="B263" s="854"/>
      <c r="C263" s="785"/>
      <c r="D263" s="2028"/>
      <c r="E263" s="344"/>
      <c r="F263" s="886"/>
      <c r="G263" s="765"/>
      <c r="H263" s="765"/>
      <c r="I263" s="765"/>
      <c r="J263" s="765"/>
      <c r="K263" s="765"/>
      <c r="L263" s="786"/>
      <c r="M263" s="765"/>
      <c r="N263" s="765"/>
      <c r="O263" s="765"/>
      <c r="P263" s="765"/>
      <c r="Q263" s="765"/>
      <c r="R263" s="786"/>
      <c r="S263" s="765"/>
      <c r="T263" s="765"/>
      <c r="U263" s="765"/>
    </row>
    <row r="264" spans="1:21">
      <c r="A264" s="306"/>
      <c r="B264" s="858"/>
      <c r="C264" s="800"/>
      <c r="D264" s="306"/>
      <c r="E264" s="758" t="s">
        <v>702</v>
      </c>
      <c r="F264" s="902">
        <f>SUM(F260:F263)</f>
        <v>6900</v>
      </c>
      <c r="G264" s="770"/>
      <c r="H264" s="770"/>
      <c r="I264" s="770"/>
      <c r="J264" s="770"/>
      <c r="K264" s="770"/>
      <c r="L264" s="789"/>
      <c r="M264" s="770"/>
      <c r="N264" s="770"/>
      <c r="O264" s="770"/>
      <c r="P264" s="770"/>
      <c r="Q264" s="770"/>
      <c r="R264" s="789"/>
      <c r="S264" s="770"/>
      <c r="T264" s="770"/>
      <c r="U264" s="770"/>
    </row>
    <row r="265" spans="1:21">
      <c r="A265" s="2046" t="s">
        <v>975</v>
      </c>
      <c r="B265" s="2047"/>
      <c r="C265" s="2047"/>
      <c r="D265" s="2047"/>
      <c r="E265" s="2048"/>
      <c r="F265" s="904">
        <f>F264+F259+F252+F243+F236+F216+F203+F195+F184+F172+F163+F152+F144+F136</f>
        <v>1643960</v>
      </c>
      <c r="G265" s="771"/>
      <c r="H265" s="771"/>
      <c r="I265" s="777"/>
      <c r="J265" s="777"/>
      <c r="K265" s="777"/>
      <c r="L265" s="777"/>
      <c r="M265" s="777"/>
      <c r="N265" s="777"/>
      <c r="O265" s="777"/>
      <c r="P265" s="777"/>
      <c r="Q265" s="777"/>
      <c r="R265" s="777"/>
      <c r="S265" s="777"/>
      <c r="T265" s="777"/>
      <c r="U265" s="771"/>
    </row>
    <row r="266" spans="1:21" s="816" customFormat="1">
      <c r="A266" s="1994" t="s">
        <v>976</v>
      </c>
      <c r="B266" s="1995"/>
      <c r="C266" s="1995"/>
      <c r="D266" s="1995"/>
      <c r="E266" s="1995"/>
      <c r="F266" s="1995"/>
      <c r="G266" s="1995"/>
      <c r="H266" s="1995"/>
      <c r="I266" s="1995"/>
      <c r="J266" s="1995"/>
      <c r="K266" s="1995"/>
      <c r="L266" s="1995"/>
      <c r="M266" s="1995"/>
      <c r="N266" s="1995"/>
      <c r="O266" s="1995"/>
      <c r="P266" s="1995"/>
      <c r="Q266" s="1995"/>
      <c r="R266" s="1995"/>
      <c r="S266" s="1995"/>
      <c r="T266" s="1996"/>
      <c r="U266" s="319"/>
    </row>
    <row r="267" spans="1:21" s="863" customFormat="1" ht="38.25">
      <c r="A267" s="2023" t="s">
        <v>977</v>
      </c>
      <c r="B267" s="2023" t="s">
        <v>978</v>
      </c>
      <c r="C267" s="2023" t="s">
        <v>979</v>
      </c>
      <c r="D267" s="2023" t="s">
        <v>980</v>
      </c>
      <c r="E267" s="1024" t="s">
        <v>981</v>
      </c>
      <c r="F267" s="955">
        <v>16200</v>
      </c>
      <c r="G267" s="1012" t="s">
        <v>282</v>
      </c>
      <c r="H267" s="2049">
        <v>22706</v>
      </c>
      <c r="I267" s="988"/>
      <c r="J267" s="2021"/>
      <c r="K267" s="2021"/>
      <c r="L267" s="1025"/>
      <c r="M267" s="988"/>
      <c r="N267" s="2021">
        <v>25280</v>
      </c>
      <c r="O267" s="988"/>
      <c r="P267" s="2021"/>
      <c r="Q267" s="2021"/>
      <c r="R267" s="1025"/>
      <c r="S267" s="2021"/>
      <c r="T267" s="988"/>
      <c r="U267" s="2002" t="s">
        <v>982</v>
      </c>
    </row>
    <row r="268" spans="1:21" s="863" customFormat="1">
      <c r="A268" s="2024"/>
      <c r="B268" s="2024"/>
      <c r="C268" s="2024"/>
      <c r="D268" s="2024"/>
      <c r="E268" s="966" t="s">
        <v>710</v>
      </c>
      <c r="F268" s="967">
        <v>8000</v>
      </c>
      <c r="G268" s="968"/>
      <c r="H268" s="2050"/>
      <c r="I268" s="968"/>
      <c r="J268" s="2022"/>
      <c r="K268" s="2022"/>
      <c r="L268" s="969"/>
      <c r="M268" s="968"/>
      <c r="N268" s="2022"/>
      <c r="O268" s="968"/>
      <c r="P268" s="2022"/>
      <c r="Q268" s="2022"/>
      <c r="R268" s="969"/>
      <c r="S268" s="2022"/>
      <c r="T268" s="968"/>
      <c r="U268" s="2003"/>
    </row>
    <row r="269" spans="1:21">
      <c r="A269" s="2024"/>
      <c r="B269" s="2024"/>
      <c r="C269" s="2024"/>
      <c r="D269" s="2024"/>
      <c r="E269" s="966" t="s">
        <v>983</v>
      </c>
      <c r="F269" s="967">
        <v>1080</v>
      </c>
      <c r="G269" s="957"/>
      <c r="H269" s="2050"/>
      <c r="I269" s="957"/>
      <c r="J269" s="2022"/>
      <c r="K269" s="2022"/>
      <c r="L269" s="969"/>
      <c r="M269" s="957"/>
      <c r="N269" s="2022"/>
      <c r="O269" s="957"/>
      <c r="P269" s="2022"/>
      <c r="Q269" s="2022"/>
      <c r="R269" s="969"/>
      <c r="S269" s="2022"/>
      <c r="T269" s="957"/>
      <c r="U269" s="957"/>
    </row>
    <row r="270" spans="1:21">
      <c r="A270" s="981"/>
      <c r="B270" s="976"/>
      <c r="C270" s="976"/>
      <c r="D270" s="981"/>
      <c r="E270" s="1026" t="s">
        <v>702</v>
      </c>
      <c r="F270" s="1027">
        <f>SUM(F267:F269)</f>
        <v>25280</v>
      </c>
      <c r="G270" s="1028"/>
      <c r="H270" s="1028"/>
      <c r="I270" s="1028"/>
      <c r="J270" s="1028"/>
      <c r="K270" s="1028"/>
      <c r="L270" s="982"/>
      <c r="M270" s="1028"/>
      <c r="N270" s="1028"/>
      <c r="O270" s="1028"/>
      <c r="P270" s="1028"/>
      <c r="Q270" s="1028"/>
      <c r="R270" s="982"/>
      <c r="S270" s="1028"/>
      <c r="T270" s="1028"/>
      <c r="U270" s="1028"/>
    </row>
    <row r="271" spans="1:21" ht="41.25">
      <c r="A271" s="2023" t="s">
        <v>984</v>
      </c>
      <c r="B271" s="2023" t="s">
        <v>985</v>
      </c>
      <c r="C271" s="2023" t="s">
        <v>986</v>
      </c>
      <c r="D271" s="2023" t="s">
        <v>987</v>
      </c>
      <c r="E271" s="1024" t="s">
        <v>988</v>
      </c>
      <c r="F271" s="955">
        <v>4800</v>
      </c>
      <c r="G271" s="1029" t="s">
        <v>282</v>
      </c>
      <c r="H271" s="2049" t="s">
        <v>989</v>
      </c>
      <c r="I271" s="988"/>
      <c r="J271" s="2021"/>
      <c r="K271" s="2021"/>
      <c r="L271" s="1025"/>
      <c r="M271" s="988"/>
      <c r="N271" s="2021"/>
      <c r="O271" s="988"/>
      <c r="P271" s="2021"/>
      <c r="Q271" s="2021"/>
      <c r="R271" s="2044">
        <v>18660</v>
      </c>
      <c r="S271" s="2021"/>
      <c r="T271" s="988"/>
      <c r="U271" s="2002" t="s">
        <v>982</v>
      </c>
    </row>
    <row r="272" spans="1:21" ht="37.5">
      <c r="A272" s="2024"/>
      <c r="B272" s="2024"/>
      <c r="C272" s="2024"/>
      <c r="D272" s="2024"/>
      <c r="E272" s="966" t="s">
        <v>990</v>
      </c>
      <c r="F272" s="967">
        <v>2400</v>
      </c>
      <c r="G272" s="968"/>
      <c r="H272" s="2050"/>
      <c r="I272" s="968"/>
      <c r="J272" s="2022"/>
      <c r="K272" s="2022"/>
      <c r="L272" s="969"/>
      <c r="M272" s="968"/>
      <c r="N272" s="2022"/>
      <c r="O272" s="968"/>
      <c r="P272" s="2022"/>
      <c r="Q272" s="2022"/>
      <c r="R272" s="2045"/>
      <c r="S272" s="2022"/>
      <c r="T272" s="968"/>
      <c r="U272" s="2003"/>
    </row>
    <row r="273" spans="1:21" ht="33">
      <c r="A273" s="2024"/>
      <c r="B273" s="2024"/>
      <c r="C273" s="2024"/>
      <c r="D273" s="2024"/>
      <c r="E273" s="1030" t="s">
        <v>991</v>
      </c>
      <c r="F273" s="967">
        <v>5040</v>
      </c>
      <c r="G273" s="957"/>
      <c r="H273" s="2050"/>
      <c r="I273" s="957"/>
      <c r="J273" s="2022"/>
      <c r="K273" s="2022"/>
      <c r="L273" s="969"/>
      <c r="M273" s="957"/>
      <c r="N273" s="2022"/>
      <c r="O273" s="957"/>
      <c r="P273" s="2022"/>
      <c r="Q273" s="2022"/>
      <c r="R273" s="969"/>
      <c r="S273" s="2022"/>
      <c r="T273" s="957"/>
      <c r="U273" s="957"/>
    </row>
    <row r="274" spans="1:21">
      <c r="A274" s="2024"/>
      <c r="B274" s="970"/>
      <c r="C274" s="970"/>
      <c r="D274" s="2024"/>
      <c r="E274" s="966" t="s">
        <v>992</v>
      </c>
      <c r="F274" s="967">
        <v>2000</v>
      </c>
      <c r="G274" s="957"/>
      <c r="H274" s="1031"/>
      <c r="I274" s="957"/>
      <c r="J274" s="1000"/>
      <c r="K274" s="1000"/>
      <c r="L274" s="973"/>
      <c r="M274" s="957"/>
      <c r="N274" s="1000"/>
      <c r="O274" s="957"/>
      <c r="P274" s="1000"/>
      <c r="Q274" s="1000"/>
      <c r="R274" s="973"/>
      <c r="S274" s="1000"/>
      <c r="T274" s="957"/>
      <c r="U274" s="957"/>
    </row>
    <row r="275" spans="1:21">
      <c r="A275" s="2024"/>
      <c r="B275" s="970"/>
      <c r="C275" s="970"/>
      <c r="D275" s="2024"/>
      <c r="E275" s="966" t="s">
        <v>983</v>
      </c>
      <c r="F275" s="967">
        <v>4420</v>
      </c>
      <c r="G275" s="957"/>
      <c r="H275" s="1031"/>
      <c r="I275" s="957"/>
      <c r="J275" s="1000"/>
      <c r="K275" s="1000"/>
      <c r="L275" s="973"/>
      <c r="M275" s="957"/>
      <c r="N275" s="1000"/>
      <c r="O275" s="957"/>
      <c r="P275" s="1000"/>
      <c r="Q275" s="1000"/>
      <c r="R275" s="973"/>
      <c r="S275" s="1000"/>
      <c r="T275" s="957"/>
      <c r="U275" s="957"/>
    </row>
    <row r="276" spans="1:21">
      <c r="A276" s="2024"/>
      <c r="B276" s="970"/>
      <c r="C276" s="970"/>
      <c r="D276" s="2024"/>
      <c r="E276" s="1015"/>
      <c r="F276" s="1032"/>
      <c r="G276" s="957"/>
      <c r="H276" s="957"/>
      <c r="I276" s="957"/>
      <c r="J276" s="957"/>
      <c r="K276" s="957"/>
      <c r="L276" s="973"/>
      <c r="M276" s="957"/>
      <c r="N276" s="957"/>
      <c r="O276" s="957"/>
      <c r="P276" s="957"/>
      <c r="Q276" s="957"/>
      <c r="R276" s="973"/>
      <c r="S276" s="957"/>
      <c r="T276" s="957"/>
      <c r="U276" s="957"/>
    </row>
    <row r="277" spans="1:21">
      <c r="A277" s="981"/>
      <c r="B277" s="976"/>
      <c r="C277" s="976"/>
      <c r="D277" s="981"/>
      <c r="E277" s="1026" t="s">
        <v>702</v>
      </c>
      <c r="F277" s="1027">
        <f>SUM(F271:F276)</f>
        <v>18660</v>
      </c>
      <c r="G277" s="1028"/>
      <c r="H277" s="1028"/>
      <c r="I277" s="1028"/>
      <c r="J277" s="1028"/>
      <c r="K277" s="1028"/>
      <c r="L277" s="982"/>
      <c r="M277" s="1028"/>
      <c r="N277" s="1028"/>
      <c r="O277" s="1028"/>
      <c r="P277" s="1028"/>
      <c r="Q277" s="1028"/>
      <c r="R277" s="982"/>
      <c r="S277" s="1028"/>
      <c r="T277" s="1028"/>
      <c r="U277" s="1028"/>
    </row>
    <row r="278" spans="1:21" ht="56.25">
      <c r="A278" s="335" t="s">
        <v>993</v>
      </c>
      <c r="B278" s="335" t="s">
        <v>994</v>
      </c>
      <c r="C278" s="335" t="s">
        <v>995</v>
      </c>
      <c r="D278" s="335" t="s">
        <v>996</v>
      </c>
      <c r="E278" s="905" t="s">
        <v>997</v>
      </c>
      <c r="F278" s="784"/>
      <c r="G278" s="335"/>
      <c r="H278" s="906"/>
      <c r="I278" s="802"/>
      <c r="J278" s="802"/>
      <c r="K278" s="802"/>
      <c r="L278" s="802"/>
      <c r="M278" s="802"/>
      <c r="N278" s="802"/>
      <c r="O278" s="802"/>
      <c r="P278" s="802"/>
      <c r="Q278" s="803"/>
      <c r="R278" s="802"/>
      <c r="S278" s="802"/>
      <c r="T278" s="804"/>
      <c r="U278" s="335" t="s">
        <v>982</v>
      </c>
    </row>
    <row r="279" spans="1:21">
      <c r="A279" s="2041" t="s">
        <v>998</v>
      </c>
      <c r="B279" s="2042"/>
      <c r="C279" s="2042"/>
      <c r="D279" s="2042"/>
      <c r="E279" s="2043"/>
      <c r="F279" s="904">
        <f>F277+F270</f>
        <v>43940</v>
      </c>
      <c r="G279" s="771"/>
      <c r="H279" s="771"/>
      <c r="I279" s="777"/>
      <c r="J279" s="777"/>
      <c r="K279" s="777"/>
      <c r="L279" s="777"/>
      <c r="M279" s="777"/>
      <c r="N279" s="777"/>
      <c r="O279" s="777"/>
      <c r="P279" s="777"/>
      <c r="Q279" s="777"/>
      <c r="R279" s="777"/>
      <c r="S279" s="777"/>
      <c r="T279" s="777"/>
      <c r="U279" s="771"/>
    </row>
    <row r="281" spans="1:21">
      <c r="A281" s="907" t="s">
        <v>140</v>
      </c>
      <c r="B281" s="1577" t="s">
        <v>141</v>
      </c>
      <c r="C281" s="1577"/>
      <c r="D281" s="1577"/>
      <c r="E281" s="1577"/>
      <c r="F281" s="234">
        <f>F27+F136+F144+F152+F163+F270+F277</f>
        <v>334740</v>
      </c>
      <c r="G281" s="60" t="s">
        <v>445</v>
      </c>
    </row>
    <row r="282" spans="1:21">
      <c r="F282" s="60">
        <v>150000</v>
      </c>
    </row>
    <row r="283" spans="1:21">
      <c r="F283" s="234">
        <f>F281-F282</f>
        <v>184740</v>
      </c>
    </row>
  </sheetData>
  <mergeCells count="436"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Q267:Q269"/>
    <mergeCell ref="S267:S269"/>
    <mergeCell ref="A279:E279"/>
    <mergeCell ref="J271:J273"/>
    <mergeCell ref="K271:K273"/>
    <mergeCell ref="N271:N273"/>
    <mergeCell ref="P271:P273"/>
    <mergeCell ref="K267:K269"/>
    <mergeCell ref="N267:N269"/>
    <mergeCell ref="P267:P269"/>
    <mergeCell ref="Q271:Q273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196:J199"/>
    <mergeCell ref="K196:K199"/>
    <mergeCell ref="N196:N199"/>
    <mergeCell ref="P196:P199"/>
    <mergeCell ref="S196:S199"/>
    <mergeCell ref="J186:J189"/>
    <mergeCell ref="U196:U197"/>
    <mergeCell ref="K186:K189"/>
    <mergeCell ref="N186:N189"/>
    <mergeCell ref="P186:P189"/>
    <mergeCell ref="S186:S189"/>
    <mergeCell ref="U186:U187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A185:T185"/>
    <mergeCell ref="N164:N167"/>
    <mergeCell ref="P164:P167"/>
    <mergeCell ref="S164:S167"/>
    <mergeCell ref="J164:J167"/>
    <mergeCell ref="G174:G176"/>
    <mergeCell ref="J174:J177"/>
    <mergeCell ref="N174:N177"/>
    <mergeCell ref="P174:P177"/>
    <mergeCell ref="S174:S177"/>
    <mergeCell ref="H174:H177"/>
    <mergeCell ref="U164:U165"/>
    <mergeCell ref="A173:T173"/>
    <mergeCell ref="A174:A184"/>
    <mergeCell ref="B174:B177"/>
    <mergeCell ref="C174:C177"/>
    <mergeCell ref="D174:D177"/>
    <mergeCell ref="A164:A172"/>
    <mergeCell ref="B164:B167"/>
    <mergeCell ref="C164:C167"/>
    <mergeCell ref="D164:D167"/>
    <mergeCell ref="H164:H167"/>
    <mergeCell ref="U174:U175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L153:L162"/>
    <mergeCell ref="M153:M162"/>
    <mergeCell ref="S145:S147"/>
    <mergeCell ref="T145:T147"/>
    <mergeCell ref="U145:U146"/>
    <mergeCell ref="J153:J162"/>
    <mergeCell ref="K137:K143"/>
    <mergeCell ref="L137:L143"/>
    <mergeCell ref="N145:N147"/>
    <mergeCell ref="O145:O147"/>
    <mergeCell ref="P145:P147"/>
    <mergeCell ref="Q145:Q147"/>
    <mergeCell ref="R145:R147"/>
    <mergeCell ref="A145:A149"/>
    <mergeCell ref="L145:L147"/>
    <mergeCell ref="B145:B149"/>
    <mergeCell ref="K145:K147"/>
    <mergeCell ref="A126:T126"/>
    <mergeCell ref="A106:A107"/>
    <mergeCell ref="A109:T109"/>
    <mergeCell ref="A110:A114"/>
    <mergeCell ref="B110:B113"/>
    <mergeCell ref="C110:C113"/>
    <mergeCell ref="N110:N113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H137:H143"/>
    <mergeCell ref="J137:J143"/>
    <mergeCell ref="P110:P113"/>
    <mergeCell ref="D110:D113"/>
    <mergeCell ref="H110:H113"/>
    <mergeCell ref="J110:J113"/>
    <mergeCell ref="K110:K111"/>
    <mergeCell ref="S110:S113"/>
    <mergeCell ref="A120:A123"/>
    <mergeCell ref="A125:E125"/>
    <mergeCell ref="F125:H125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O41:O43"/>
    <mergeCell ref="P41:P43"/>
    <mergeCell ref="Q41:Q43"/>
    <mergeCell ref="Q45:Q47"/>
    <mergeCell ref="R45:R47"/>
    <mergeCell ref="S45:S47"/>
    <mergeCell ref="T45:T47"/>
    <mergeCell ref="U45:U46"/>
    <mergeCell ref="S41:S43"/>
    <mergeCell ref="T41:T43"/>
    <mergeCell ref="U41:U42"/>
    <mergeCell ref="A51:T51"/>
    <mergeCell ref="K45:K47"/>
    <mergeCell ref="O45:O47"/>
    <mergeCell ref="P45:P47"/>
    <mergeCell ref="A45:A49"/>
    <mergeCell ref="B45:B47"/>
    <mergeCell ref="C45:C47"/>
    <mergeCell ref="D45:D47"/>
    <mergeCell ref="H45:H47"/>
    <mergeCell ref="J45:J47"/>
    <mergeCell ref="M45:M47"/>
    <mergeCell ref="N45:N47"/>
    <mergeCell ref="U20:U25"/>
    <mergeCell ref="A15:A19"/>
    <mergeCell ref="B15:B19"/>
    <mergeCell ref="C15:C19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I15:I18"/>
    <mergeCell ref="D15:D19"/>
    <mergeCell ref="G15:G18"/>
    <mergeCell ref="H15:H18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L41:L43"/>
    <mergeCell ref="M41:M43"/>
    <mergeCell ref="N41:N43"/>
    <mergeCell ref="L45:L47"/>
    <mergeCell ref="U7:U10"/>
    <mergeCell ref="U12:U13"/>
    <mergeCell ref="G7:G10"/>
    <mergeCell ref="H7:H10"/>
    <mergeCell ref="Q12:Q13"/>
    <mergeCell ref="S12:S13"/>
    <mergeCell ref="T15:T18"/>
    <mergeCell ref="U15:U18"/>
    <mergeCell ref="S15:S18"/>
    <mergeCell ref="J15:J18"/>
    <mergeCell ref="T12:T13"/>
    <mergeCell ref="N12:N13"/>
    <mergeCell ref="O12:O13"/>
    <mergeCell ref="P12:P13"/>
    <mergeCell ref="H12:H13"/>
    <mergeCell ref="I12:I13"/>
    <mergeCell ref="M12:M13"/>
    <mergeCell ref="J12:J13"/>
    <mergeCell ref="K12:K13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O5:O6"/>
    <mergeCell ref="P5:P6"/>
    <mergeCell ref="Q5:Q6"/>
    <mergeCell ref="A12:A14"/>
    <mergeCell ref="B12:B14"/>
    <mergeCell ref="C12:C14"/>
    <mergeCell ref="D12:D14"/>
    <mergeCell ref="G12:G13"/>
    <mergeCell ref="Q7:Q10"/>
    <mergeCell ref="A7:A11"/>
    <mergeCell ref="B7:B8"/>
    <mergeCell ref="O7:O10"/>
    <mergeCell ref="C7:C8"/>
    <mergeCell ref="D7:D11"/>
    <mergeCell ref="R5:R6"/>
    <mergeCell ref="S5:S6"/>
    <mergeCell ref="P7:P10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ageMargins left="0.25" right="0.25" top="0.75" bottom="0.75" header="0.3" footer="0.3"/>
  <pageSetup paperSize="9" scale="7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opLeftCell="C19" workbookViewId="0">
      <selection activeCell="H2" sqref="H1:U65536"/>
    </sheetView>
  </sheetViews>
  <sheetFormatPr defaultColWidth="8.75" defaultRowHeight="21.75"/>
  <cols>
    <col min="1" max="5" width="22.75" style="150" customWidth="1"/>
    <col min="6" max="6" width="7.25" style="150" customWidth="1"/>
    <col min="7" max="7" width="8" style="150" customWidth="1"/>
    <col min="8" max="8" width="6.75" style="150" customWidth="1"/>
    <col min="9" max="9" width="3.75" style="150" customWidth="1"/>
    <col min="10" max="10" width="3.375" style="150" customWidth="1"/>
    <col min="11" max="14" width="4.25" style="150" customWidth="1"/>
    <col min="15" max="15" width="4.75" style="150" customWidth="1"/>
    <col min="16" max="20" width="4.25" style="150" customWidth="1"/>
    <col min="21" max="21" width="9.75" style="150" customWidth="1"/>
    <col min="22" max="22" width="8.75" style="147"/>
    <col min="23" max="23" width="9.375" style="147" bestFit="1" customWidth="1"/>
    <col min="24" max="16384" width="8.75" style="147"/>
  </cols>
  <sheetData>
    <row r="1" spans="1:25" customFormat="1" ht="24">
      <c r="A1" s="1434" t="s">
        <v>41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</row>
    <row r="2" spans="1:25" customFormat="1" ht="24">
      <c r="A2" s="1435" t="s">
        <v>1451</v>
      </c>
      <c r="B2" s="1435"/>
      <c r="C2" s="1435"/>
      <c r="D2" s="1435"/>
      <c r="E2" s="236"/>
    </row>
    <row r="3" spans="1:25">
      <c r="A3" s="229" t="s">
        <v>1319</v>
      </c>
      <c r="B3" s="229"/>
      <c r="C3" s="229"/>
      <c r="D3" s="229"/>
      <c r="E3" s="229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5">
      <c r="A4" s="2054" t="s">
        <v>44</v>
      </c>
      <c r="B4" s="2054" t="s">
        <v>45</v>
      </c>
      <c r="C4" s="2054" t="s">
        <v>46</v>
      </c>
      <c r="D4" s="2054" t="s">
        <v>47</v>
      </c>
      <c r="E4" s="2060" t="s">
        <v>48</v>
      </c>
      <c r="F4" s="2061"/>
      <c r="G4" s="2062"/>
      <c r="H4" s="2054" t="s">
        <v>49</v>
      </c>
      <c r="I4" s="2054" t="s">
        <v>50</v>
      </c>
      <c r="J4" s="2054"/>
      <c r="K4" s="2054"/>
      <c r="L4" s="2054"/>
      <c r="M4" s="2054"/>
      <c r="N4" s="2054"/>
      <c r="O4" s="2054"/>
      <c r="P4" s="2054"/>
      <c r="Q4" s="2054"/>
      <c r="R4" s="2054"/>
      <c r="S4" s="2054"/>
      <c r="T4" s="2054"/>
      <c r="U4" s="2055" t="s">
        <v>153</v>
      </c>
    </row>
    <row r="5" spans="1:25">
      <c r="A5" s="2054"/>
      <c r="B5" s="2054"/>
      <c r="C5" s="2054"/>
      <c r="D5" s="2054"/>
      <c r="E5" s="2055" t="s">
        <v>52</v>
      </c>
      <c r="F5" s="2054" t="s">
        <v>53</v>
      </c>
      <c r="G5" s="2054" t="s">
        <v>54</v>
      </c>
      <c r="H5" s="2054"/>
      <c r="I5" s="2054" t="s">
        <v>55</v>
      </c>
      <c r="J5" s="2054" t="s">
        <v>56</v>
      </c>
      <c r="K5" s="2054" t="s">
        <v>57</v>
      </c>
      <c r="L5" s="2054" t="s">
        <v>58</v>
      </c>
      <c r="M5" s="2054" t="s">
        <v>59</v>
      </c>
      <c r="N5" s="2054" t="s">
        <v>60</v>
      </c>
      <c r="O5" s="2054" t="s">
        <v>61</v>
      </c>
      <c r="P5" s="2054" t="s">
        <v>62</v>
      </c>
      <c r="Q5" s="2054" t="s">
        <v>63</v>
      </c>
      <c r="R5" s="2054" t="s">
        <v>64</v>
      </c>
      <c r="S5" s="2054" t="s">
        <v>65</v>
      </c>
      <c r="T5" s="2054" t="s">
        <v>66</v>
      </c>
      <c r="U5" s="2056"/>
    </row>
    <row r="6" spans="1:25">
      <c r="A6" s="2054"/>
      <c r="B6" s="2054"/>
      <c r="C6" s="2054"/>
      <c r="D6" s="2054"/>
      <c r="E6" s="2057"/>
      <c r="F6" s="2054"/>
      <c r="G6" s="2054"/>
      <c r="H6" s="2054"/>
      <c r="I6" s="2054"/>
      <c r="J6" s="2054"/>
      <c r="K6" s="2054"/>
      <c r="L6" s="2054"/>
      <c r="M6" s="2054"/>
      <c r="N6" s="2054"/>
      <c r="O6" s="2054"/>
      <c r="P6" s="2054"/>
      <c r="Q6" s="2054"/>
      <c r="R6" s="2054"/>
      <c r="S6" s="2054"/>
      <c r="T6" s="2054"/>
      <c r="U6" s="2057"/>
    </row>
    <row r="7" spans="1:25" ht="31.5" customHeight="1">
      <c r="A7" s="2058" t="s">
        <v>1320</v>
      </c>
      <c r="B7" s="2058"/>
      <c r="C7" s="2058"/>
      <c r="D7" s="2058"/>
      <c r="E7" s="2058"/>
      <c r="F7" s="2058"/>
      <c r="G7" s="2058"/>
      <c r="H7" s="2058"/>
      <c r="I7" s="2058"/>
      <c r="J7" s="2058"/>
      <c r="K7" s="2058"/>
      <c r="L7" s="2058"/>
      <c r="M7" s="2058"/>
      <c r="N7" s="2058"/>
      <c r="O7" s="2058"/>
      <c r="P7" s="2058"/>
      <c r="Q7" s="2058"/>
      <c r="R7" s="2058"/>
      <c r="S7" s="2058"/>
      <c r="T7" s="2058"/>
      <c r="U7" s="2059"/>
    </row>
    <row r="8" spans="1:25">
      <c r="A8" s="2063" t="s">
        <v>1321</v>
      </c>
      <c r="B8" s="1580" t="s">
        <v>1322</v>
      </c>
      <c r="C8" s="1580" t="s">
        <v>1323</v>
      </c>
      <c r="D8" s="1580" t="s">
        <v>1324</v>
      </c>
      <c r="E8" s="569" t="s">
        <v>1325</v>
      </c>
      <c r="F8" s="570">
        <v>1000</v>
      </c>
      <c r="G8" s="1614" t="s">
        <v>1326</v>
      </c>
      <c r="H8" s="1611" t="s">
        <v>1327</v>
      </c>
      <c r="I8" s="1537"/>
      <c r="J8" s="1537"/>
      <c r="K8" s="2066"/>
      <c r="L8" s="2066">
        <v>4240</v>
      </c>
      <c r="M8" s="1589"/>
      <c r="N8" s="2066"/>
      <c r="O8" s="2066">
        <v>5760</v>
      </c>
      <c r="P8" s="1589"/>
      <c r="Q8" s="2066"/>
      <c r="R8" s="1537"/>
      <c r="S8" s="1537"/>
      <c r="T8" s="1537"/>
      <c r="U8" s="411" t="s">
        <v>282</v>
      </c>
    </row>
    <row r="9" spans="1:25" ht="43.5">
      <c r="A9" s="2064"/>
      <c r="B9" s="1581"/>
      <c r="C9" s="1581"/>
      <c r="D9" s="1581"/>
      <c r="E9" s="566" t="s">
        <v>1328</v>
      </c>
      <c r="F9" s="571">
        <v>3240</v>
      </c>
      <c r="G9" s="1615"/>
      <c r="H9" s="1612"/>
      <c r="I9" s="2065"/>
      <c r="J9" s="2065"/>
      <c r="K9" s="2067"/>
      <c r="L9" s="2067"/>
      <c r="M9" s="1590"/>
      <c r="N9" s="2067"/>
      <c r="O9" s="2067"/>
      <c r="P9" s="1590"/>
      <c r="Q9" s="2067"/>
      <c r="R9" s="2065"/>
      <c r="S9" s="2065"/>
      <c r="T9" s="2065"/>
      <c r="U9" s="161"/>
    </row>
    <row r="10" spans="1:25" ht="87">
      <c r="A10" s="2064"/>
      <c r="B10" s="1581"/>
      <c r="C10" s="1581"/>
      <c r="D10" s="1581"/>
      <c r="E10" s="566" t="s">
        <v>1329</v>
      </c>
      <c r="F10" s="571"/>
      <c r="G10" s="1615"/>
      <c r="H10" s="1612"/>
      <c r="I10" s="2065"/>
      <c r="J10" s="2065"/>
      <c r="K10" s="2067"/>
      <c r="L10" s="2067"/>
      <c r="M10" s="1590"/>
      <c r="N10" s="2067"/>
      <c r="O10" s="2067"/>
      <c r="P10" s="1590"/>
      <c r="Q10" s="2067"/>
      <c r="R10" s="2065"/>
      <c r="S10" s="2065"/>
      <c r="T10" s="2065"/>
      <c r="U10" s="161"/>
    </row>
    <row r="11" spans="1:25" ht="43.5">
      <c r="A11" s="2064"/>
      <c r="B11" s="1581"/>
      <c r="C11" s="1581"/>
      <c r="D11" s="1581"/>
      <c r="E11" s="572" t="s">
        <v>1330</v>
      </c>
      <c r="F11" s="573">
        <v>2400</v>
      </c>
      <c r="G11" s="1615"/>
      <c r="H11" s="1612"/>
      <c r="I11" s="2065"/>
      <c r="J11" s="2065"/>
      <c r="K11" s="2067"/>
      <c r="L11" s="2067"/>
      <c r="M11" s="1590"/>
      <c r="N11" s="2067"/>
      <c r="O11" s="2067"/>
      <c r="P11" s="1590"/>
      <c r="Q11" s="2067"/>
      <c r="R11" s="2065"/>
      <c r="S11" s="2065"/>
      <c r="T11" s="2065"/>
      <c r="U11" s="161"/>
    </row>
    <row r="12" spans="1:25" ht="41.25" customHeight="1">
      <c r="A12" s="2064"/>
      <c r="B12" s="1581"/>
      <c r="C12" s="1581"/>
      <c r="D12" s="1581"/>
      <c r="E12" s="574" t="s">
        <v>1331</v>
      </c>
      <c r="F12" s="575">
        <v>3360</v>
      </c>
      <c r="G12" s="1615"/>
      <c r="H12" s="1612"/>
      <c r="I12" s="2065"/>
      <c r="J12" s="2065"/>
      <c r="K12" s="2067"/>
      <c r="L12" s="2067"/>
      <c r="M12" s="1590"/>
      <c r="N12" s="2067"/>
      <c r="O12" s="2067"/>
      <c r="P12" s="1590"/>
      <c r="Q12" s="2067"/>
      <c r="R12" s="2065"/>
      <c r="S12" s="2065"/>
      <c r="T12" s="2065"/>
      <c r="U12" s="161"/>
      <c r="W12" s="153"/>
    </row>
    <row r="13" spans="1:25" ht="34.5">
      <c r="A13" s="576"/>
      <c r="B13" s="577"/>
      <c r="C13" s="577"/>
      <c r="D13" s="577"/>
      <c r="E13" s="578" t="s">
        <v>4</v>
      </c>
      <c r="F13" s="579">
        <f>SUM(F8:F12)</f>
        <v>10000</v>
      </c>
      <c r="G13" s="580"/>
      <c r="H13" s="580"/>
      <c r="I13" s="581"/>
      <c r="J13" s="581"/>
      <c r="K13" s="582"/>
      <c r="L13" s="582">
        <v>4240</v>
      </c>
      <c r="M13" s="583"/>
      <c r="N13" s="582"/>
      <c r="O13" s="582">
        <v>5760</v>
      </c>
      <c r="P13" s="583"/>
      <c r="Q13" s="582"/>
      <c r="R13" s="581"/>
      <c r="S13" s="581"/>
      <c r="T13" s="581"/>
      <c r="U13" s="580" t="s">
        <v>282</v>
      </c>
      <c r="W13" s="153"/>
    </row>
    <row r="14" spans="1:25" ht="87">
      <c r="A14" s="584" t="s">
        <v>1452</v>
      </c>
      <c r="B14" s="585" t="s">
        <v>1333</v>
      </c>
      <c r="C14" s="586" t="s">
        <v>1334</v>
      </c>
      <c r="D14" s="586" t="s">
        <v>1335</v>
      </c>
      <c r="E14" s="411" t="s">
        <v>1336</v>
      </c>
      <c r="F14" s="587">
        <v>1600</v>
      </c>
      <c r="G14" s="2068" t="s">
        <v>1337</v>
      </c>
      <c r="H14" s="1611" t="s">
        <v>1338</v>
      </c>
      <c r="I14" s="1537"/>
      <c r="J14" s="1537"/>
      <c r="K14" s="1537"/>
      <c r="L14" s="1537"/>
      <c r="M14" s="1537"/>
      <c r="N14" s="2066">
        <v>2450</v>
      </c>
      <c r="O14" s="1537"/>
      <c r="P14" s="1537"/>
      <c r="Q14" s="1537"/>
      <c r="R14" s="2066">
        <v>2450</v>
      </c>
      <c r="S14" s="1537"/>
      <c r="T14" s="1537"/>
      <c r="U14" s="1611" t="s">
        <v>1339</v>
      </c>
      <c r="Y14" s="147">
        <v>800</v>
      </c>
    </row>
    <row r="15" spans="1:25" ht="65.25">
      <c r="A15" s="588"/>
      <c r="B15" s="589"/>
      <c r="C15" s="589"/>
      <c r="D15" s="589"/>
      <c r="E15" s="161" t="s">
        <v>1340</v>
      </c>
      <c r="F15" s="160">
        <v>800</v>
      </c>
      <c r="G15" s="2069"/>
      <c r="H15" s="1612"/>
      <c r="I15" s="2065"/>
      <c r="J15" s="2065"/>
      <c r="K15" s="2065"/>
      <c r="L15" s="2065"/>
      <c r="M15" s="2065"/>
      <c r="N15" s="2067"/>
      <c r="O15" s="2065"/>
      <c r="P15" s="2065"/>
      <c r="Q15" s="2065"/>
      <c r="R15" s="2067"/>
      <c r="S15" s="2065"/>
      <c r="T15" s="2065"/>
      <c r="U15" s="1612"/>
      <c r="Y15" s="147">
        <v>400</v>
      </c>
    </row>
    <row r="16" spans="1:25" ht="65.25">
      <c r="A16" s="588"/>
      <c r="B16" s="589"/>
      <c r="C16" s="589"/>
      <c r="D16" s="589"/>
      <c r="E16" s="161" t="s">
        <v>1341</v>
      </c>
      <c r="F16" s="590">
        <v>2500</v>
      </c>
      <c r="G16" s="2069"/>
      <c r="H16" s="1612"/>
      <c r="I16" s="2065"/>
      <c r="J16" s="2065"/>
      <c r="K16" s="2065"/>
      <c r="L16" s="2065"/>
      <c r="M16" s="2065"/>
      <c r="N16" s="2067"/>
      <c r="O16" s="2065"/>
      <c r="P16" s="2065"/>
      <c r="Q16" s="2065"/>
      <c r="R16" s="2067"/>
      <c r="S16" s="2065"/>
      <c r="T16" s="2065"/>
      <c r="U16" s="1612"/>
      <c r="Y16" s="147">
        <v>1250</v>
      </c>
    </row>
    <row r="17" spans="1:21" ht="26.25">
      <c r="A17" s="591"/>
      <c r="B17" s="592"/>
      <c r="C17" s="593"/>
      <c r="D17" s="593"/>
      <c r="E17" s="594" t="s">
        <v>4</v>
      </c>
      <c r="F17" s="595">
        <f>SUM(F14:F16)</f>
        <v>4900</v>
      </c>
      <c r="G17" s="596"/>
      <c r="H17" s="597"/>
      <c r="I17" s="597"/>
      <c r="J17" s="597"/>
      <c r="K17" s="597"/>
      <c r="L17" s="597"/>
      <c r="M17" s="597"/>
      <c r="N17" s="598">
        <v>2450</v>
      </c>
      <c r="O17" s="598"/>
      <c r="P17" s="598"/>
      <c r="Q17" s="598"/>
      <c r="R17" s="598">
        <v>2450</v>
      </c>
      <c r="S17" s="597"/>
      <c r="T17" s="599"/>
      <c r="U17" s="596" t="s">
        <v>282</v>
      </c>
    </row>
    <row r="18" spans="1:21" ht="43.5">
      <c r="A18" s="600" t="s">
        <v>1342</v>
      </c>
      <c r="B18" s="601" t="s">
        <v>1343</v>
      </c>
      <c r="C18" s="601"/>
      <c r="D18" s="601" t="s">
        <v>1344</v>
      </c>
      <c r="E18" s="602" t="s">
        <v>201</v>
      </c>
      <c r="F18" s="579"/>
      <c r="G18" s="603"/>
      <c r="H18" s="604"/>
      <c r="I18" s="604"/>
      <c r="J18" s="604"/>
      <c r="K18" s="604"/>
      <c r="L18" s="604"/>
      <c r="M18" s="604"/>
      <c r="N18" s="605"/>
      <c r="O18" s="605"/>
      <c r="P18" s="605"/>
      <c r="Q18" s="605"/>
      <c r="R18" s="605"/>
      <c r="S18" s="604"/>
      <c r="T18" s="606"/>
      <c r="U18" s="602"/>
    </row>
    <row r="19" spans="1:21" ht="87">
      <c r="A19" s="607" t="s">
        <v>1345</v>
      </c>
      <c r="B19" s="411" t="s">
        <v>1346</v>
      </c>
      <c r="C19" s="411" t="s">
        <v>1347</v>
      </c>
      <c r="D19" s="411" t="s">
        <v>1348</v>
      </c>
      <c r="E19" s="411" t="s">
        <v>1349</v>
      </c>
      <c r="F19" s="587">
        <v>4800</v>
      </c>
      <c r="G19" s="411" t="s">
        <v>1350</v>
      </c>
      <c r="H19" s="411" t="s">
        <v>1338</v>
      </c>
      <c r="I19" s="1537"/>
      <c r="J19" s="1537"/>
      <c r="K19" s="1537"/>
      <c r="L19" s="1537"/>
      <c r="M19" s="1537"/>
      <c r="N19" s="2070">
        <v>7200</v>
      </c>
      <c r="O19" s="1537"/>
      <c r="P19" s="1537"/>
      <c r="Q19" s="2066"/>
      <c r="R19" s="2066"/>
      <c r="S19" s="1537"/>
      <c r="T19" s="1537"/>
      <c r="U19" s="1611" t="s">
        <v>218</v>
      </c>
    </row>
    <row r="20" spans="1:21" ht="76.5" customHeight="1">
      <c r="A20" s="608"/>
      <c r="B20" s="161"/>
      <c r="C20" s="161"/>
      <c r="D20" s="161"/>
      <c r="E20" s="161" t="s">
        <v>1351</v>
      </c>
      <c r="F20" s="590">
        <v>2400</v>
      </c>
      <c r="G20" s="161"/>
      <c r="H20" s="161"/>
      <c r="I20" s="2065"/>
      <c r="J20" s="2065"/>
      <c r="K20" s="2065"/>
      <c r="L20" s="2065"/>
      <c r="M20" s="2065"/>
      <c r="N20" s="2071"/>
      <c r="O20" s="2065"/>
      <c r="P20" s="2065"/>
      <c r="Q20" s="2067"/>
      <c r="R20" s="2067"/>
      <c r="S20" s="2065"/>
      <c r="T20" s="2065"/>
      <c r="U20" s="1612"/>
    </row>
    <row r="21" spans="1:21" ht="45.75" customHeight="1">
      <c r="A21" s="609"/>
      <c r="B21" s="610"/>
      <c r="C21" s="610"/>
      <c r="D21" s="611"/>
      <c r="E21" s="612" t="s">
        <v>4</v>
      </c>
      <c r="F21" s="579">
        <f>SUM(F19:F20)</f>
        <v>7200</v>
      </c>
      <c r="G21" s="613" t="s">
        <v>1332</v>
      </c>
      <c r="H21" s="610"/>
      <c r="I21" s="614"/>
      <c r="J21" s="615"/>
      <c r="K21" s="615"/>
      <c r="L21" s="615"/>
      <c r="M21" s="615"/>
      <c r="N21" s="615">
        <v>7200</v>
      </c>
      <c r="O21" s="615"/>
      <c r="P21" s="615"/>
      <c r="Q21" s="615"/>
      <c r="R21" s="615"/>
      <c r="S21" s="615"/>
      <c r="T21" s="615"/>
      <c r="U21" s="580" t="s">
        <v>218</v>
      </c>
    </row>
    <row r="22" spans="1:21">
      <c r="A22" s="616" t="s">
        <v>1352</v>
      </c>
      <c r="B22" s="617"/>
      <c r="C22" s="617"/>
      <c r="D22" s="567"/>
      <c r="E22" s="409"/>
      <c r="F22" s="618"/>
      <c r="G22" s="408"/>
      <c r="H22" s="617"/>
      <c r="I22" s="619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408"/>
    </row>
    <row r="23" spans="1:21" ht="65.25">
      <c r="A23" s="2075" t="s">
        <v>1353</v>
      </c>
      <c r="B23" s="2078" t="s">
        <v>1354</v>
      </c>
      <c r="C23" s="2078" t="s">
        <v>1355</v>
      </c>
      <c r="D23" s="2078" t="s">
        <v>1356</v>
      </c>
      <c r="E23" s="621" t="s">
        <v>1357</v>
      </c>
      <c r="F23" s="587">
        <v>3200</v>
      </c>
      <c r="G23" s="622"/>
      <c r="H23" s="587"/>
      <c r="I23" s="1673"/>
      <c r="J23" s="2072"/>
      <c r="K23" s="2072"/>
      <c r="L23" s="2072"/>
      <c r="M23" s="623">
        <v>1600</v>
      </c>
      <c r="N23" s="2072"/>
      <c r="O23" s="2072"/>
      <c r="P23" s="2072"/>
      <c r="Q23" s="2072"/>
      <c r="R23" s="623">
        <v>1600</v>
      </c>
      <c r="S23" s="2072"/>
      <c r="T23" s="2072"/>
      <c r="U23" s="1614" t="s">
        <v>218</v>
      </c>
    </row>
    <row r="24" spans="1:21" ht="65.25">
      <c r="A24" s="2076"/>
      <c r="B24" s="2079"/>
      <c r="C24" s="2079"/>
      <c r="D24" s="2079"/>
      <c r="E24" s="624" t="s">
        <v>1358</v>
      </c>
      <c r="F24" s="575">
        <v>1600</v>
      </c>
      <c r="G24" s="258"/>
      <c r="H24" s="575"/>
      <c r="I24" s="1675"/>
      <c r="J24" s="2073"/>
      <c r="K24" s="2073"/>
      <c r="L24" s="2073"/>
      <c r="M24" s="625">
        <v>800</v>
      </c>
      <c r="N24" s="2073"/>
      <c r="O24" s="2073"/>
      <c r="P24" s="2073"/>
      <c r="Q24" s="2073"/>
      <c r="R24" s="625">
        <v>800</v>
      </c>
      <c r="S24" s="2073"/>
      <c r="T24" s="2073"/>
      <c r="U24" s="1615"/>
    </row>
    <row r="25" spans="1:21" ht="34.5">
      <c r="A25" s="2077"/>
      <c r="B25" s="2080"/>
      <c r="C25" s="2080"/>
      <c r="D25" s="2080"/>
      <c r="E25" s="626" t="s">
        <v>1359</v>
      </c>
      <c r="F25" s="627">
        <v>3000</v>
      </c>
      <c r="G25" s="628"/>
      <c r="H25" s="627"/>
      <c r="I25" s="1674"/>
      <c r="J25" s="2074"/>
      <c r="K25" s="2074"/>
      <c r="L25" s="2074"/>
      <c r="M25" s="629">
        <v>3000</v>
      </c>
      <c r="N25" s="2074"/>
      <c r="O25" s="2074"/>
      <c r="P25" s="2074"/>
      <c r="Q25" s="2074"/>
      <c r="R25" s="630"/>
      <c r="S25" s="2074"/>
      <c r="T25" s="2074"/>
      <c r="U25" s="1616"/>
    </row>
    <row r="26" spans="1:21" ht="66" customHeight="1">
      <c r="A26" s="412"/>
      <c r="B26" s="631"/>
      <c r="C26" s="631"/>
      <c r="D26" s="632"/>
      <c r="E26" s="633" t="s">
        <v>1453</v>
      </c>
      <c r="F26" s="627">
        <v>8000</v>
      </c>
      <c r="G26" s="634"/>
      <c r="H26" s="627"/>
      <c r="I26" s="249"/>
      <c r="J26" s="410"/>
      <c r="K26" s="410"/>
      <c r="L26" s="410"/>
      <c r="M26" s="410">
        <v>4000</v>
      </c>
      <c r="N26" s="410"/>
      <c r="O26" s="410"/>
      <c r="P26" s="410"/>
      <c r="Q26" s="410"/>
      <c r="R26" s="410">
        <v>4000</v>
      </c>
      <c r="S26" s="410"/>
      <c r="T26" s="410"/>
      <c r="U26" s="266"/>
    </row>
    <row r="27" spans="1:21" ht="34.5">
      <c r="A27" s="609"/>
      <c r="B27" s="610"/>
      <c r="C27" s="610"/>
      <c r="D27" s="611"/>
      <c r="E27" s="612" t="s">
        <v>4</v>
      </c>
      <c r="F27" s="579">
        <f>F23+F24+F25+F26</f>
        <v>15800</v>
      </c>
      <c r="G27" s="613"/>
      <c r="H27" s="610"/>
      <c r="I27" s="614"/>
      <c r="J27" s="615"/>
      <c r="K27" s="615"/>
      <c r="L27" s="615"/>
      <c r="M27" s="615">
        <f>M23+M24+M25+M26</f>
        <v>9400</v>
      </c>
      <c r="N27" s="615"/>
      <c r="O27" s="615"/>
      <c r="P27" s="615"/>
      <c r="Q27" s="615"/>
      <c r="R27" s="615">
        <f>R23+R24+R26</f>
        <v>6400</v>
      </c>
      <c r="S27" s="615"/>
      <c r="T27" s="615"/>
      <c r="U27" s="580" t="s">
        <v>1360</v>
      </c>
    </row>
    <row r="28" spans="1:21">
      <c r="A28" s="635" t="s">
        <v>1361</v>
      </c>
      <c r="B28" s="636"/>
      <c r="C28" s="636"/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7"/>
    </row>
    <row r="29" spans="1:21" ht="87">
      <c r="A29" s="638" t="s">
        <v>1362</v>
      </c>
      <c r="B29" s="102" t="s">
        <v>1363</v>
      </c>
      <c r="C29" s="102" t="s">
        <v>1364</v>
      </c>
      <c r="D29" s="102" t="s">
        <v>1365</v>
      </c>
      <c r="E29" s="102"/>
      <c r="F29" s="639">
        <v>216000</v>
      </c>
      <c r="G29" s="408" t="s">
        <v>1337</v>
      </c>
      <c r="H29" s="102" t="s">
        <v>1366</v>
      </c>
      <c r="I29" s="640">
        <v>18000</v>
      </c>
      <c r="J29" s="640">
        <v>18000</v>
      </c>
      <c r="K29" s="640">
        <v>18000</v>
      </c>
      <c r="L29" s="640">
        <v>18000</v>
      </c>
      <c r="M29" s="640">
        <v>18000</v>
      </c>
      <c r="N29" s="640">
        <v>18000</v>
      </c>
      <c r="O29" s="640">
        <v>18000</v>
      </c>
      <c r="P29" s="640">
        <v>18000</v>
      </c>
      <c r="Q29" s="640">
        <v>18000</v>
      </c>
      <c r="R29" s="640">
        <v>18000</v>
      </c>
      <c r="S29" s="640">
        <v>18000</v>
      </c>
      <c r="T29" s="640">
        <v>18000</v>
      </c>
      <c r="U29" s="80" t="s">
        <v>1367</v>
      </c>
    </row>
    <row r="30" spans="1:21">
      <c r="A30" s="609"/>
      <c r="B30" s="610"/>
      <c r="C30" s="610"/>
      <c r="D30" s="611"/>
      <c r="E30" s="612" t="s">
        <v>4</v>
      </c>
      <c r="F30" s="579">
        <f>SUM(F29)</f>
        <v>216000</v>
      </c>
      <c r="G30" s="613"/>
      <c r="H30" s="610"/>
      <c r="I30" s="614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580"/>
    </row>
    <row r="31" spans="1:21">
      <c r="A31" s="2090" t="s">
        <v>1368</v>
      </c>
      <c r="B31" s="2091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2"/>
    </row>
    <row r="32" spans="1:21" ht="20.25" customHeight="1">
      <c r="A32" s="2092" t="s">
        <v>1369</v>
      </c>
      <c r="B32" s="2093"/>
      <c r="C32" s="2093"/>
      <c r="D32" s="209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4"/>
    </row>
    <row r="33" spans="1:21" ht="130.5">
      <c r="A33" s="159" t="s">
        <v>1370</v>
      </c>
      <c r="B33" s="159" t="s">
        <v>1371</v>
      </c>
      <c r="C33" s="159" t="s">
        <v>1372</v>
      </c>
      <c r="D33" s="159" t="s">
        <v>1373</v>
      </c>
      <c r="E33" s="297" t="s">
        <v>201</v>
      </c>
      <c r="F33" s="298"/>
      <c r="G33" s="298"/>
      <c r="H33" s="298"/>
      <c r="I33" s="645">
        <v>29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 t="s">
        <v>1374</v>
      </c>
    </row>
    <row r="34" spans="1:21">
      <c r="A34" s="2081" t="s">
        <v>1375</v>
      </c>
      <c r="B34" s="2082"/>
      <c r="C34" s="2082"/>
      <c r="D34" s="2082"/>
      <c r="E34" s="2082"/>
      <c r="F34" s="2082"/>
      <c r="G34" s="2082"/>
      <c r="H34" s="2082"/>
      <c r="I34" s="2085"/>
      <c r="J34" s="2085"/>
      <c r="K34" s="2085"/>
      <c r="L34" s="2085"/>
      <c r="M34" s="2085"/>
      <c r="N34" s="2085"/>
      <c r="O34" s="2085"/>
      <c r="P34" s="2085"/>
      <c r="Q34" s="2085"/>
      <c r="R34" s="2085"/>
      <c r="S34" s="2085"/>
      <c r="T34" s="2085"/>
      <c r="U34" s="2083"/>
    </row>
    <row r="35" spans="1:21">
      <c r="A35" s="1650" t="s">
        <v>1376</v>
      </c>
      <c r="B35" s="1650" t="s">
        <v>1377</v>
      </c>
      <c r="C35" s="1580" t="s">
        <v>1378</v>
      </c>
      <c r="D35" s="154" t="s">
        <v>1379</v>
      </c>
      <c r="E35" s="646" t="s">
        <v>1380</v>
      </c>
      <c r="F35" s="647">
        <v>25000</v>
      </c>
      <c r="G35" s="154"/>
      <c r="H35" s="648"/>
      <c r="I35" s="154"/>
      <c r="J35" s="154"/>
      <c r="K35" s="154"/>
      <c r="L35" s="154"/>
      <c r="M35" s="648">
        <v>25000</v>
      </c>
      <c r="N35" s="154"/>
      <c r="O35" s="154"/>
      <c r="P35" s="154"/>
      <c r="Q35" s="154"/>
      <c r="R35" s="154"/>
      <c r="S35" s="154"/>
      <c r="T35" s="154"/>
      <c r="U35" s="646"/>
    </row>
    <row r="36" spans="1:21" ht="43.5">
      <c r="A36" s="1651"/>
      <c r="B36" s="1651"/>
      <c r="C36" s="1581"/>
      <c r="D36" s="155"/>
      <c r="E36" s="649" t="s">
        <v>1381</v>
      </c>
      <c r="F36" s="650">
        <v>11520</v>
      </c>
      <c r="G36" s="155"/>
      <c r="H36" s="568"/>
      <c r="I36" s="155"/>
      <c r="J36" s="155"/>
      <c r="K36" s="155"/>
      <c r="L36" s="155"/>
      <c r="M36" s="568">
        <v>11520</v>
      </c>
      <c r="N36" s="155"/>
      <c r="O36" s="155"/>
      <c r="P36" s="155"/>
      <c r="Q36" s="155"/>
      <c r="R36" s="155"/>
      <c r="S36" s="155"/>
      <c r="T36" s="155"/>
      <c r="U36" s="651"/>
    </row>
    <row r="37" spans="1:21" ht="43.5">
      <c r="A37" s="1651"/>
      <c r="B37" s="1651"/>
      <c r="C37" s="1581"/>
      <c r="D37" s="155"/>
      <c r="E37" s="677" t="s">
        <v>1382</v>
      </c>
      <c r="F37" s="652">
        <v>28000</v>
      </c>
      <c r="G37" s="155"/>
      <c r="H37" s="568"/>
      <c r="I37" s="155"/>
      <c r="J37" s="155"/>
      <c r="K37" s="155"/>
      <c r="L37" s="155"/>
      <c r="M37" s="568">
        <v>28000</v>
      </c>
      <c r="N37" s="155"/>
      <c r="O37" s="155"/>
      <c r="P37" s="155"/>
      <c r="Q37" s="155"/>
      <c r="R37" s="155"/>
      <c r="S37" s="155"/>
      <c r="T37" s="155"/>
      <c r="U37" s="651"/>
    </row>
    <row r="38" spans="1:21">
      <c r="A38" s="653"/>
      <c r="B38" s="653"/>
      <c r="C38" s="654"/>
      <c r="D38" s="302"/>
      <c r="E38" s="654" t="s">
        <v>4</v>
      </c>
      <c r="F38" s="655">
        <f>F35+F36+F37</f>
        <v>64520</v>
      </c>
      <c r="G38" s="302"/>
      <c r="H38" s="656">
        <v>22313</v>
      </c>
      <c r="I38" s="302"/>
      <c r="J38" s="302"/>
      <c r="K38" s="302"/>
      <c r="L38" s="302"/>
      <c r="M38" s="657">
        <v>64520</v>
      </c>
      <c r="N38" s="302"/>
      <c r="O38" s="302"/>
      <c r="P38" s="302"/>
      <c r="Q38" s="302"/>
      <c r="R38" s="302"/>
      <c r="S38" s="302"/>
      <c r="T38" s="302"/>
      <c r="U38" s="654" t="s">
        <v>282</v>
      </c>
    </row>
    <row r="39" spans="1:21">
      <c r="A39" s="2087" t="s">
        <v>1384</v>
      </c>
      <c r="B39" s="2088"/>
      <c r="C39" s="2088"/>
      <c r="D39" s="2088"/>
      <c r="E39" s="2088"/>
      <c r="F39" s="2088"/>
      <c r="G39" s="2088"/>
      <c r="H39" s="2088"/>
      <c r="I39" s="2088"/>
      <c r="J39" s="2088"/>
      <c r="K39" s="2088"/>
      <c r="L39" s="2088"/>
      <c r="M39" s="2088"/>
      <c r="N39" s="2088"/>
      <c r="O39" s="2088"/>
      <c r="P39" s="2088"/>
      <c r="Q39" s="2088"/>
      <c r="R39" s="2088"/>
      <c r="S39" s="2088"/>
      <c r="T39" s="2088"/>
      <c r="U39" s="2089"/>
    </row>
    <row r="40" spans="1:21" ht="43.5">
      <c r="A40" s="1650" t="s">
        <v>1385</v>
      </c>
      <c r="B40" s="1650" t="s">
        <v>1386</v>
      </c>
      <c r="C40" s="1580" t="s">
        <v>1387</v>
      </c>
      <c r="D40" s="658" t="s">
        <v>637</v>
      </c>
      <c r="E40" s="659" t="s">
        <v>1388</v>
      </c>
      <c r="F40" s="647">
        <v>8400</v>
      </c>
      <c r="G40" s="154"/>
      <c r="H40" s="648"/>
      <c r="I40" s="154"/>
      <c r="J40" s="154"/>
      <c r="K40" s="154"/>
      <c r="L40" s="154"/>
      <c r="M40" s="648"/>
      <c r="N40" s="154"/>
      <c r="O40" s="154"/>
      <c r="P40" s="154"/>
      <c r="Q40" s="154"/>
      <c r="R40" s="154"/>
      <c r="S40" s="154">
        <v>8400</v>
      </c>
      <c r="T40" s="154"/>
      <c r="U40" s="646" t="s">
        <v>282</v>
      </c>
    </row>
    <row r="41" spans="1:21" ht="43.5">
      <c r="A41" s="1651"/>
      <c r="B41" s="1651"/>
      <c r="C41" s="1581"/>
      <c r="D41" s="155"/>
      <c r="E41" s="660" t="s">
        <v>1389</v>
      </c>
      <c r="F41" s="652">
        <v>4320</v>
      </c>
      <c r="G41" s="155"/>
      <c r="H41" s="568"/>
      <c r="I41" s="155"/>
      <c r="J41" s="155"/>
      <c r="K41" s="155"/>
      <c r="L41" s="155"/>
      <c r="M41" s="568"/>
      <c r="N41" s="155"/>
      <c r="O41" s="155"/>
      <c r="P41" s="155"/>
      <c r="Q41" s="155"/>
      <c r="R41" s="155"/>
      <c r="S41" s="155">
        <v>4320</v>
      </c>
      <c r="T41" s="155"/>
      <c r="U41" s="651"/>
    </row>
    <row r="42" spans="1:21">
      <c r="A42" s="1651"/>
      <c r="B42" s="1651"/>
      <c r="C42" s="1581"/>
      <c r="D42" s="155"/>
      <c r="E42" s="660"/>
      <c r="F42" s="652"/>
      <c r="G42" s="155"/>
      <c r="H42" s="568"/>
      <c r="I42" s="155"/>
      <c r="J42" s="155"/>
      <c r="K42" s="155"/>
      <c r="L42" s="155"/>
      <c r="M42" s="568"/>
      <c r="N42" s="155"/>
      <c r="O42" s="155"/>
      <c r="P42" s="155"/>
      <c r="Q42" s="155"/>
      <c r="R42" s="155"/>
      <c r="S42" s="155"/>
      <c r="T42" s="155"/>
      <c r="U42" s="651"/>
    </row>
    <row r="43" spans="1:21">
      <c r="A43" s="1650" t="s">
        <v>1390</v>
      </c>
      <c r="B43" s="1650" t="s">
        <v>1391</v>
      </c>
      <c r="C43" s="157" t="s">
        <v>1392</v>
      </c>
      <c r="D43" s="157" t="s">
        <v>1393</v>
      </c>
      <c r="E43" s="1650" t="s">
        <v>1394</v>
      </c>
      <c r="F43" s="661">
        <v>7000</v>
      </c>
      <c r="G43" s="662"/>
      <c r="H43" s="663"/>
      <c r="I43" s="301"/>
      <c r="J43" s="301"/>
      <c r="K43" s="301"/>
      <c r="L43" s="301"/>
      <c r="M43" s="664"/>
      <c r="N43" s="301"/>
      <c r="O43" s="301"/>
      <c r="P43" s="301"/>
      <c r="Q43" s="301"/>
      <c r="R43" s="301"/>
      <c r="S43" s="154">
        <v>7000</v>
      </c>
      <c r="T43" s="154"/>
      <c r="U43" s="665" t="s">
        <v>282</v>
      </c>
    </row>
    <row r="44" spans="1:21">
      <c r="A44" s="1651"/>
      <c r="B44" s="1651"/>
      <c r="C44" s="1651" t="s">
        <v>1387</v>
      </c>
      <c r="D44" s="158"/>
      <c r="E44" s="1651"/>
      <c r="F44" s="666"/>
      <c r="G44" s="665"/>
      <c r="H44" s="663"/>
      <c r="I44" s="666"/>
      <c r="J44" s="666"/>
      <c r="K44" s="666"/>
      <c r="L44" s="666"/>
      <c r="M44" s="667"/>
      <c r="N44" s="666"/>
      <c r="O44" s="666"/>
      <c r="P44" s="666"/>
      <c r="Q44" s="666"/>
      <c r="R44" s="666"/>
      <c r="S44" s="666"/>
      <c r="T44" s="666"/>
      <c r="U44" s="668"/>
    </row>
    <row r="45" spans="1:21">
      <c r="A45" s="1651"/>
      <c r="B45" s="1651"/>
      <c r="C45" s="1651"/>
      <c r="D45" s="158"/>
      <c r="E45" s="1651" t="s">
        <v>1395</v>
      </c>
      <c r="F45" s="669">
        <v>6000</v>
      </c>
      <c r="G45" s="670"/>
      <c r="H45" s="671"/>
      <c r="I45" s="672"/>
      <c r="J45" s="672"/>
      <c r="K45" s="672"/>
      <c r="L45" s="672"/>
      <c r="M45" s="673"/>
      <c r="N45" s="672"/>
      <c r="O45" s="672"/>
      <c r="P45" s="672"/>
      <c r="Q45" s="672"/>
      <c r="R45" s="672"/>
      <c r="S45" s="672"/>
      <c r="T45" s="672"/>
      <c r="U45" s="674"/>
    </row>
    <row r="46" spans="1:21">
      <c r="A46" s="1651"/>
      <c r="B46" s="1651"/>
      <c r="C46" s="1651"/>
      <c r="D46" s="158"/>
      <c r="E46" s="1651"/>
      <c r="F46" s="672"/>
      <c r="G46" s="670"/>
      <c r="H46" s="671"/>
      <c r="I46" s="672"/>
      <c r="J46" s="672"/>
      <c r="K46" s="672"/>
      <c r="L46" s="672"/>
      <c r="M46" s="673"/>
      <c r="N46" s="672"/>
      <c r="O46" s="672"/>
      <c r="P46" s="672"/>
      <c r="Q46" s="672"/>
      <c r="R46" s="672"/>
      <c r="S46" s="672"/>
      <c r="T46" s="672"/>
      <c r="U46" s="674"/>
    </row>
    <row r="47" spans="1:21" ht="31.5">
      <c r="A47" s="653"/>
      <c r="B47" s="653"/>
      <c r="C47" s="654"/>
      <c r="D47" s="302"/>
      <c r="E47" s="675" t="s">
        <v>4</v>
      </c>
      <c r="F47" s="655">
        <f>F40+F41+F43+F45</f>
        <v>25720</v>
      </c>
      <c r="G47" s="302"/>
      <c r="H47" s="657" t="s">
        <v>1396</v>
      </c>
      <c r="I47" s="302"/>
      <c r="J47" s="302"/>
      <c r="K47" s="302"/>
      <c r="L47" s="302"/>
      <c r="M47" s="657"/>
      <c r="N47" s="302"/>
      <c r="O47" s="302"/>
      <c r="P47" s="302"/>
      <c r="Q47" s="302"/>
      <c r="R47" s="302"/>
      <c r="S47" s="676">
        <v>25720</v>
      </c>
      <c r="T47" s="302"/>
      <c r="U47" s="654" t="s">
        <v>282</v>
      </c>
    </row>
    <row r="48" spans="1:21">
      <c r="A48" s="2081" t="s">
        <v>1397</v>
      </c>
      <c r="B48" s="2082"/>
      <c r="C48" s="2082"/>
      <c r="D48" s="2082"/>
      <c r="E48" s="2082"/>
      <c r="F48" s="2082"/>
      <c r="G48" s="2082"/>
      <c r="H48" s="2082"/>
      <c r="I48" s="2082"/>
      <c r="J48" s="2082"/>
      <c r="K48" s="2082"/>
      <c r="L48" s="2082"/>
      <c r="M48" s="2082"/>
      <c r="N48" s="2082"/>
      <c r="O48" s="2082"/>
      <c r="P48" s="2082"/>
      <c r="Q48" s="2082"/>
      <c r="R48" s="2082"/>
      <c r="S48" s="2082"/>
      <c r="T48" s="2082"/>
      <c r="U48" s="2083"/>
    </row>
    <row r="49" spans="1:21" ht="65.25">
      <c r="A49" s="1650" t="s">
        <v>1398</v>
      </c>
      <c r="B49" s="1650" t="s">
        <v>1399</v>
      </c>
      <c r="C49" s="677" t="s">
        <v>1387</v>
      </c>
      <c r="D49" s="678" t="s">
        <v>1400</v>
      </c>
      <c r="E49" s="677" t="s">
        <v>1401</v>
      </c>
      <c r="F49" s="590">
        <v>9600</v>
      </c>
      <c r="G49" s="155"/>
      <c r="H49" s="568"/>
      <c r="I49" s="154"/>
      <c r="J49" s="154"/>
      <c r="K49" s="154">
        <v>3200</v>
      </c>
      <c r="L49" s="154"/>
      <c r="M49" s="154"/>
      <c r="N49" s="154"/>
      <c r="O49" s="154">
        <v>3200</v>
      </c>
      <c r="P49" s="154"/>
      <c r="Q49" s="154"/>
      <c r="R49" s="154"/>
      <c r="S49" s="154"/>
      <c r="T49" s="154">
        <v>3200</v>
      </c>
      <c r="U49" s="651"/>
    </row>
    <row r="50" spans="1:21" ht="65.25">
      <c r="A50" s="1651"/>
      <c r="B50" s="1651"/>
      <c r="C50" s="677"/>
      <c r="D50" s="678"/>
      <c r="E50" s="649" t="s">
        <v>1402</v>
      </c>
      <c r="F50" s="573">
        <v>4800</v>
      </c>
      <c r="G50" s="155"/>
      <c r="H50" s="568"/>
      <c r="I50" s="155"/>
      <c r="J50" s="155"/>
      <c r="K50" s="155"/>
      <c r="L50" s="155"/>
      <c r="M50" s="568"/>
      <c r="N50" s="155"/>
      <c r="O50" s="155"/>
      <c r="P50" s="155"/>
      <c r="Q50" s="155"/>
      <c r="R50" s="155"/>
      <c r="S50" s="155"/>
      <c r="T50" s="155"/>
      <c r="U50" s="651"/>
    </row>
    <row r="51" spans="1:21" ht="25.5" customHeight="1">
      <c r="A51" s="653"/>
      <c r="B51" s="653"/>
      <c r="C51" s="654"/>
      <c r="D51" s="302"/>
      <c r="E51" s="654" t="s">
        <v>702</v>
      </c>
      <c r="F51" s="655">
        <f>SUM(F49:F50)</f>
        <v>14400</v>
      </c>
      <c r="G51" s="302"/>
      <c r="H51" s="657" t="s">
        <v>1403</v>
      </c>
      <c r="I51" s="302"/>
      <c r="J51" s="302"/>
      <c r="K51" s="302">
        <v>3200</v>
      </c>
      <c r="L51" s="302"/>
      <c r="M51" s="657"/>
      <c r="N51" s="302"/>
      <c r="O51" s="302">
        <v>3200</v>
      </c>
      <c r="P51" s="302"/>
      <c r="Q51" s="302"/>
      <c r="R51" s="302"/>
      <c r="S51" s="302"/>
      <c r="T51" s="302">
        <v>3200</v>
      </c>
      <c r="U51" s="654" t="s">
        <v>282</v>
      </c>
    </row>
    <row r="52" spans="1:21">
      <c r="A52" s="2084" t="s">
        <v>1404</v>
      </c>
      <c r="B52" s="2085"/>
      <c r="C52" s="2085"/>
      <c r="D52" s="2085"/>
      <c r="E52" s="2085"/>
      <c r="F52" s="2085"/>
      <c r="G52" s="2085"/>
      <c r="H52" s="2085"/>
      <c r="I52" s="2085"/>
      <c r="J52" s="2085"/>
      <c r="K52" s="2085"/>
      <c r="L52" s="2085"/>
      <c r="M52" s="2085"/>
      <c r="N52" s="2085"/>
      <c r="O52" s="2085"/>
      <c r="P52" s="2085"/>
      <c r="Q52" s="2085"/>
      <c r="R52" s="2085"/>
      <c r="S52" s="2085"/>
      <c r="T52" s="2085"/>
      <c r="U52" s="2086"/>
    </row>
    <row r="53" spans="1:21" ht="130.5">
      <c r="A53" s="1650" t="s">
        <v>1405</v>
      </c>
      <c r="B53" s="244" t="s">
        <v>1406</v>
      </c>
      <c r="C53" s="1580" t="s">
        <v>1407</v>
      </c>
      <c r="D53" s="679" t="s">
        <v>1392</v>
      </c>
      <c r="E53" s="680"/>
      <c r="F53" s="681"/>
      <c r="G53" s="658"/>
      <c r="H53" s="648"/>
      <c r="I53" s="154"/>
      <c r="J53" s="154"/>
      <c r="K53" s="154"/>
      <c r="L53" s="154"/>
      <c r="M53" s="648"/>
      <c r="N53" s="154"/>
      <c r="O53" s="154"/>
      <c r="P53" s="154"/>
      <c r="Q53" s="154"/>
      <c r="R53" s="154"/>
      <c r="S53" s="154"/>
      <c r="T53" s="154"/>
      <c r="U53" s="646"/>
    </row>
    <row r="54" spans="1:21" ht="43.5">
      <c r="A54" s="1651"/>
      <c r="B54" s="250" t="s">
        <v>1408</v>
      </c>
      <c r="C54" s="1581"/>
      <c r="D54" s="155"/>
      <c r="E54" s="649" t="s">
        <v>1409</v>
      </c>
      <c r="F54" s="590">
        <v>1000</v>
      </c>
      <c r="G54" s="155"/>
      <c r="H54" s="568"/>
      <c r="I54" s="155"/>
      <c r="J54" s="155"/>
      <c r="K54" s="682">
        <v>1000</v>
      </c>
      <c r="L54" s="155"/>
      <c r="M54" s="568"/>
      <c r="N54" s="155"/>
      <c r="O54" s="155"/>
      <c r="P54" s="155"/>
      <c r="Q54" s="155"/>
      <c r="R54" s="155"/>
      <c r="S54" s="155"/>
      <c r="T54" s="155"/>
      <c r="U54" s="651"/>
    </row>
    <row r="55" spans="1:21" ht="65.25">
      <c r="A55" s="1651"/>
      <c r="B55" s="250" t="s">
        <v>1410</v>
      </c>
      <c r="C55" s="1581"/>
      <c r="D55" s="155"/>
      <c r="E55" s="649" t="s">
        <v>1411</v>
      </c>
      <c r="F55" s="590">
        <v>3600</v>
      </c>
      <c r="G55" s="155"/>
      <c r="H55" s="568"/>
      <c r="I55" s="155"/>
      <c r="J55" s="155"/>
      <c r="K55" s="682">
        <v>3600</v>
      </c>
      <c r="L55" s="155"/>
      <c r="M55" s="568"/>
      <c r="N55" s="155"/>
      <c r="O55" s="155"/>
      <c r="P55" s="155"/>
      <c r="Q55" s="155"/>
      <c r="R55" s="155"/>
      <c r="S55" s="155"/>
      <c r="T55" s="155"/>
      <c r="U55" s="651"/>
    </row>
    <row r="56" spans="1:21" ht="43.5">
      <c r="A56" s="1651"/>
      <c r="B56" s="250" t="s">
        <v>1412</v>
      </c>
      <c r="C56" s="1581"/>
      <c r="D56" s="155"/>
      <c r="E56" s="651"/>
      <c r="F56" s="652"/>
      <c r="G56" s="155"/>
      <c r="H56" s="568"/>
      <c r="I56" s="155"/>
      <c r="J56" s="155"/>
      <c r="K56" s="155"/>
      <c r="L56" s="155"/>
      <c r="M56" s="568"/>
      <c r="N56" s="155"/>
      <c r="O56" s="155"/>
      <c r="P56" s="155"/>
      <c r="Q56" s="155"/>
      <c r="R56" s="155"/>
      <c r="S56" s="155"/>
      <c r="T56" s="155"/>
      <c r="U56" s="651"/>
    </row>
    <row r="57" spans="1:21" ht="65.25">
      <c r="A57" s="158"/>
      <c r="B57" s="250" t="s">
        <v>1413</v>
      </c>
      <c r="C57" s="1581"/>
      <c r="D57" s="155"/>
      <c r="E57" s="651"/>
      <c r="F57" s="652"/>
      <c r="G57" s="155"/>
      <c r="H57" s="568"/>
      <c r="I57" s="155"/>
      <c r="J57" s="155"/>
      <c r="K57" s="155"/>
      <c r="L57" s="155"/>
      <c r="M57" s="568"/>
      <c r="N57" s="155"/>
      <c r="O57" s="155"/>
      <c r="P57" s="155"/>
      <c r="Q57" s="155"/>
      <c r="R57" s="155"/>
      <c r="S57" s="155"/>
      <c r="T57" s="155"/>
      <c r="U57" s="651"/>
    </row>
    <row r="58" spans="1:21" ht="27.75" customHeight="1">
      <c r="A58" s="683"/>
      <c r="B58" s="684"/>
      <c r="C58" s="685"/>
      <c r="D58" s="686"/>
      <c r="E58" s="675" t="s">
        <v>4</v>
      </c>
      <c r="F58" s="687">
        <f>SUM(F53:F57)</f>
        <v>4600</v>
      </c>
      <c r="G58" s="686" t="s">
        <v>1383</v>
      </c>
      <c r="H58" s="688" t="s">
        <v>1414</v>
      </c>
      <c r="I58" s="686"/>
      <c r="J58" s="686"/>
      <c r="K58" s="686">
        <v>4600</v>
      </c>
      <c r="L58" s="686"/>
      <c r="M58" s="688"/>
      <c r="N58" s="686"/>
      <c r="O58" s="686"/>
      <c r="P58" s="686"/>
      <c r="Q58" s="686"/>
      <c r="R58" s="686"/>
      <c r="S58" s="686"/>
      <c r="T58" s="686"/>
      <c r="U58" s="685" t="s">
        <v>282</v>
      </c>
    </row>
    <row r="59" spans="1:21" ht="65.25">
      <c r="A59" s="1650" t="s">
        <v>1415</v>
      </c>
      <c r="B59" s="250" t="s">
        <v>1416</v>
      </c>
      <c r="C59" s="660" t="s">
        <v>1417</v>
      </c>
      <c r="D59" s="678" t="s">
        <v>1392</v>
      </c>
      <c r="E59" s="689" t="s">
        <v>201</v>
      </c>
      <c r="F59" s="652"/>
      <c r="G59" s="155"/>
      <c r="H59" s="568"/>
      <c r="I59" s="155"/>
      <c r="J59" s="155"/>
      <c r="K59" s="155"/>
      <c r="L59" s="155"/>
      <c r="M59" s="154"/>
      <c r="N59" s="154"/>
      <c r="O59" s="154"/>
      <c r="P59" s="154"/>
      <c r="Q59" s="155"/>
      <c r="R59" s="155"/>
      <c r="S59" s="155"/>
      <c r="T59" s="155"/>
      <c r="U59" s="651"/>
    </row>
    <row r="60" spans="1:21" ht="87">
      <c r="A60" s="1651"/>
      <c r="B60" s="250" t="s">
        <v>1418</v>
      </c>
      <c r="C60" s="651"/>
      <c r="D60" s="155"/>
      <c r="E60" s="651"/>
      <c r="F60" s="652"/>
      <c r="G60" s="155"/>
      <c r="H60" s="568"/>
      <c r="I60" s="155"/>
      <c r="J60" s="155"/>
      <c r="K60" s="155"/>
      <c r="L60" s="155"/>
      <c r="M60" s="568"/>
      <c r="N60" s="155"/>
      <c r="O60" s="155"/>
      <c r="P60" s="155"/>
      <c r="Q60" s="155"/>
      <c r="R60" s="155"/>
      <c r="S60" s="155"/>
      <c r="T60" s="155"/>
      <c r="U60" s="651"/>
    </row>
    <row r="61" spans="1:21">
      <c r="A61" s="690"/>
      <c r="B61" s="691"/>
      <c r="C61" s="692"/>
      <c r="D61" s="693"/>
      <c r="E61" s="694" t="s">
        <v>4</v>
      </c>
      <c r="F61" s="695">
        <f>F13+F17+F21+F27+F30+F38+F47+F51+F58</f>
        <v>363140</v>
      </c>
      <c r="G61" s="693"/>
      <c r="H61" s="696" t="s">
        <v>1419</v>
      </c>
      <c r="I61" s="693"/>
      <c r="J61" s="693"/>
      <c r="K61" s="693"/>
      <c r="L61" s="693"/>
      <c r="M61" s="696"/>
      <c r="N61" s="693"/>
      <c r="O61" s="693"/>
      <c r="P61" s="693"/>
      <c r="Q61" s="693"/>
      <c r="R61" s="693"/>
      <c r="S61" s="693"/>
      <c r="T61" s="693"/>
      <c r="U61" s="692" t="s">
        <v>282</v>
      </c>
    </row>
    <row r="63" spans="1:21">
      <c r="F63" s="231"/>
    </row>
  </sheetData>
  <mergeCells count="109"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P8:P12"/>
    <mergeCell ref="Q8:Q12"/>
    <mergeCell ref="L8:L12"/>
    <mergeCell ref="M8:M12"/>
    <mergeCell ref="N8:N12"/>
    <mergeCell ref="R8:R12"/>
    <mergeCell ref="S8:S12"/>
    <mergeCell ref="T8:T12"/>
    <mergeCell ref="G14:G16"/>
    <mergeCell ref="H14:H16"/>
    <mergeCell ref="I14:I16"/>
    <mergeCell ref="J14:J16"/>
    <mergeCell ref="K14:K16"/>
    <mergeCell ref="J8:J12"/>
    <mergeCell ref="K8:K12"/>
    <mergeCell ref="R14:R16"/>
    <mergeCell ref="S14:S16"/>
    <mergeCell ref="T14:T16"/>
    <mergeCell ref="O8:O12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I5:I6"/>
    <mergeCell ref="J5:J6"/>
    <mergeCell ref="K5:K6"/>
    <mergeCell ref="L5:L6"/>
    <mergeCell ref="I4:T4"/>
    <mergeCell ref="U4:U6"/>
    <mergeCell ref="E5:E6"/>
    <mergeCell ref="S5:S6"/>
    <mergeCell ref="T5:T6"/>
    <mergeCell ref="A7:U7"/>
    <mergeCell ref="R5:R6"/>
    <mergeCell ref="F5:F6"/>
    <mergeCell ref="G5:G6"/>
    <mergeCell ref="A4:A6"/>
    <mergeCell ref="B4:B6"/>
    <mergeCell ref="C4:C6"/>
    <mergeCell ref="D4:D6"/>
    <mergeCell ref="E4:G4"/>
    <mergeCell ref="H4:H6"/>
    <mergeCell ref="O5:O6"/>
    <mergeCell ref="P5:P6"/>
    <mergeCell ref="Q5:Q6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zoomScaleSheetLayoutView="100" workbookViewId="0">
      <selection activeCell="H2" sqref="H1:U65536"/>
    </sheetView>
  </sheetViews>
  <sheetFormatPr defaultColWidth="9" defaultRowHeight="18"/>
  <cols>
    <col min="1" max="5" width="22.75" style="74" customWidth="1"/>
    <col min="6" max="6" width="8.125" style="74" customWidth="1"/>
    <col min="7" max="7" width="7.75" style="74" customWidth="1"/>
    <col min="8" max="8" width="9.75" style="74" customWidth="1"/>
    <col min="9" max="20" width="4" style="74" customWidth="1"/>
    <col min="21" max="21" width="7" style="74" customWidth="1"/>
    <col min="22" max="16384" width="9" style="74"/>
  </cols>
  <sheetData>
    <row r="1" spans="1:21" ht="21.75">
      <c r="A1" s="1424" t="s">
        <v>41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</row>
    <row r="2" spans="1:21" ht="21.75">
      <c r="A2" s="1494" t="s">
        <v>142</v>
      </c>
      <c r="B2" s="1494"/>
      <c r="C2" s="1494"/>
      <c r="D2" s="1494"/>
      <c r="E2" s="346"/>
    </row>
    <row r="3" spans="1:21" ht="21.75">
      <c r="A3" s="1436" t="s">
        <v>44</v>
      </c>
      <c r="B3" s="1436" t="s">
        <v>45</v>
      </c>
      <c r="C3" s="1436" t="s">
        <v>46</v>
      </c>
      <c r="D3" s="1436" t="s">
        <v>47</v>
      </c>
      <c r="E3" s="1436" t="s">
        <v>48</v>
      </c>
      <c r="F3" s="1436"/>
      <c r="G3" s="1436"/>
      <c r="H3" s="1436" t="s">
        <v>49</v>
      </c>
      <c r="I3" s="1436" t="s">
        <v>50</v>
      </c>
      <c r="J3" s="1436"/>
      <c r="K3" s="1436"/>
      <c r="L3" s="1436"/>
      <c r="M3" s="1436"/>
      <c r="N3" s="1436"/>
      <c r="O3" s="1436"/>
      <c r="P3" s="1436"/>
      <c r="Q3" s="1436"/>
      <c r="R3" s="1436"/>
      <c r="S3" s="1436"/>
      <c r="T3" s="1436"/>
      <c r="U3" s="1436" t="s">
        <v>51</v>
      </c>
    </row>
    <row r="4" spans="1:21" ht="14.25" customHeight="1">
      <c r="A4" s="1436"/>
      <c r="B4" s="1436"/>
      <c r="C4" s="1436"/>
      <c r="D4" s="1436"/>
      <c r="E4" s="1436" t="s">
        <v>52</v>
      </c>
      <c r="F4" s="1436" t="s">
        <v>53</v>
      </c>
      <c r="G4" s="1436" t="s">
        <v>54</v>
      </c>
      <c r="H4" s="1436"/>
      <c r="I4" s="1436" t="s">
        <v>55</v>
      </c>
      <c r="J4" s="1436" t="s">
        <v>56</v>
      </c>
      <c r="K4" s="1436" t="s">
        <v>57</v>
      </c>
      <c r="L4" s="1436" t="s">
        <v>58</v>
      </c>
      <c r="M4" s="1436" t="s">
        <v>59</v>
      </c>
      <c r="N4" s="1436" t="s">
        <v>60</v>
      </c>
      <c r="O4" s="1436" t="s">
        <v>61</v>
      </c>
      <c r="P4" s="1436" t="s">
        <v>62</v>
      </c>
      <c r="Q4" s="1436" t="s">
        <v>63</v>
      </c>
      <c r="R4" s="1436" t="s">
        <v>64</v>
      </c>
      <c r="S4" s="1436" t="s">
        <v>65</v>
      </c>
      <c r="T4" s="1436" t="s">
        <v>66</v>
      </c>
      <c r="U4" s="1436"/>
    </row>
    <row r="5" spans="1:21" ht="21.75" customHeight="1">
      <c r="A5" s="1436"/>
      <c r="B5" s="1436"/>
      <c r="C5" s="1436"/>
      <c r="D5" s="1436"/>
      <c r="E5" s="1436"/>
      <c r="F5" s="1436"/>
      <c r="G5" s="1436"/>
      <c r="H5" s="1436"/>
      <c r="I5" s="1436"/>
      <c r="J5" s="1436"/>
      <c r="K5" s="1436"/>
      <c r="L5" s="1436"/>
      <c r="M5" s="1436"/>
      <c r="N5" s="1436"/>
      <c r="O5" s="1436"/>
      <c r="P5" s="1436"/>
      <c r="Q5" s="1436"/>
      <c r="R5" s="1436"/>
      <c r="S5" s="1436"/>
      <c r="T5" s="1436"/>
      <c r="U5" s="1436"/>
    </row>
    <row r="6" spans="1:21" s="29" customFormat="1" ht="56.25">
      <c r="A6" s="1440" t="s">
        <v>143</v>
      </c>
      <c r="B6" s="1440" t="s">
        <v>144</v>
      </c>
      <c r="C6" s="1440" t="s">
        <v>145</v>
      </c>
      <c r="D6" s="1440" t="s">
        <v>146</v>
      </c>
      <c r="E6" s="697" t="s">
        <v>147</v>
      </c>
      <c r="F6" s="698">
        <f>21*120*19</f>
        <v>47880</v>
      </c>
      <c r="G6" s="314" t="s">
        <v>77</v>
      </c>
      <c r="H6" s="310" t="s">
        <v>148</v>
      </c>
      <c r="I6" s="289"/>
      <c r="J6" s="289"/>
      <c r="K6" s="289"/>
      <c r="L6" s="289"/>
      <c r="M6" s="289"/>
      <c r="N6" s="315">
        <v>35280</v>
      </c>
      <c r="O6" s="289"/>
      <c r="P6" s="289"/>
      <c r="Q6" s="315">
        <f>+F6-N6</f>
        <v>12600</v>
      </c>
      <c r="R6" s="289"/>
      <c r="S6" s="289"/>
      <c r="T6" s="289"/>
      <c r="U6" s="1458" t="s">
        <v>142</v>
      </c>
    </row>
    <row r="7" spans="1:21" s="29" customFormat="1" ht="69.75" customHeight="1">
      <c r="A7" s="1440"/>
      <c r="B7" s="1440"/>
      <c r="C7" s="1440"/>
      <c r="D7" s="1440"/>
      <c r="E7" s="697" t="s">
        <v>149</v>
      </c>
      <c r="F7" s="698">
        <f>120*19</f>
        <v>2280</v>
      </c>
      <c r="G7" s="314" t="s">
        <v>77</v>
      </c>
      <c r="H7" s="310" t="s">
        <v>148</v>
      </c>
      <c r="I7" s="289"/>
      <c r="J7" s="289"/>
      <c r="K7" s="289"/>
      <c r="L7" s="289"/>
      <c r="M7" s="289"/>
      <c r="N7" s="315">
        <v>1680</v>
      </c>
      <c r="O7" s="289"/>
      <c r="P7" s="289"/>
      <c r="Q7" s="315">
        <f>+F7-N7</f>
        <v>600</v>
      </c>
      <c r="R7" s="289"/>
      <c r="S7" s="289"/>
      <c r="T7" s="289"/>
      <c r="U7" s="1459"/>
    </row>
    <row r="8" spans="1:21" s="29" customFormat="1" ht="57.75">
      <c r="A8" s="392"/>
      <c r="B8" s="392"/>
      <c r="C8" s="392"/>
      <c r="D8" s="392"/>
      <c r="E8" s="327" t="s">
        <v>4</v>
      </c>
      <c r="F8" s="516">
        <f>SUM(F6:F7)</f>
        <v>50160</v>
      </c>
      <c r="G8" s="308"/>
      <c r="H8" s="304"/>
      <c r="I8" s="282">
        <f>+I7</f>
        <v>0</v>
      </c>
      <c r="J8" s="282">
        <f t="shared" ref="J8:T9" si="0">+J7</f>
        <v>0</v>
      </c>
      <c r="K8" s="282">
        <f t="shared" si="0"/>
        <v>0</v>
      </c>
      <c r="L8" s="282">
        <f t="shared" si="0"/>
        <v>0</v>
      </c>
      <c r="M8" s="282">
        <f t="shared" si="0"/>
        <v>0</v>
      </c>
      <c r="N8" s="282">
        <f t="shared" si="0"/>
        <v>1680</v>
      </c>
      <c r="O8" s="282">
        <f t="shared" si="0"/>
        <v>0</v>
      </c>
      <c r="P8" s="282">
        <f t="shared" si="0"/>
        <v>0</v>
      </c>
      <c r="Q8" s="282">
        <f t="shared" si="0"/>
        <v>600</v>
      </c>
      <c r="R8" s="282">
        <f t="shared" si="0"/>
        <v>0</v>
      </c>
      <c r="S8" s="282">
        <f t="shared" si="0"/>
        <v>0</v>
      </c>
      <c r="T8" s="282">
        <f t="shared" si="0"/>
        <v>0</v>
      </c>
      <c r="U8" s="309"/>
    </row>
    <row r="9" spans="1:21" s="29" customFormat="1" ht="57.75">
      <c r="E9" s="699" t="s">
        <v>139</v>
      </c>
      <c r="F9" s="516">
        <f>+F8</f>
        <v>50160</v>
      </c>
      <c r="G9" s="291"/>
      <c r="H9" s="291"/>
      <c r="I9" s="282">
        <f>+I8</f>
        <v>0</v>
      </c>
      <c r="J9" s="282">
        <f t="shared" si="0"/>
        <v>0</v>
      </c>
      <c r="K9" s="282">
        <f t="shared" si="0"/>
        <v>0</v>
      </c>
      <c r="L9" s="282">
        <f t="shared" si="0"/>
        <v>0</v>
      </c>
      <c r="M9" s="282">
        <f t="shared" si="0"/>
        <v>0</v>
      </c>
      <c r="N9" s="282">
        <f t="shared" si="0"/>
        <v>1680</v>
      </c>
      <c r="O9" s="282">
        <f t="shared" si="0"/>
        <v>0</v>
      </c>
      <c r="P9" s="282">
        <f t="shared" si="0"/>
        <v>0</v>
      </c>
      <c r="Q9" s="282">
        <f t="shared" si="0"/>
        <v>600</v>
      </c>
      <c r="R9" s="282">
        <f t="shared" si="0"/>
        <v>0</v>
      </c>
      <c r="S9" s="282">
        <f t="shared" si="0"/>
        <v>0</v>
      </c>
      <c r="T9" s="282">
        <f t="shared" si="0"/>
        <v>0</v>
      </c>
      <c r="U9" s="68"/>
    </row>
    <row r="11" spans="1:21" ht="21.75">
      <c r="A11" s="143" t="s">
        <v>140</v>
      </c>
      <c r="B11" s="1494" t="s">
        <v>141</v>
      </c>
      <c r="C11" s="1494"/>
      <c r="D11" s="1494"/>
      <c r="E11" s="1494"/>
    </row>
  </sheetData>
  <mergeCells count="31">
    <mergeCell ref="A6:A7"/>
    <mergeCell ref="B6:B7"/>
    <mergeCell ref="C6:C7"/>
    <mergeCell ref="D6:D7"/>
    <mergeCell ref="L4:L5"/>
    <mergeCell ref="A1:U1"/>
    <mergeCell ref="A2:D2"/>
    <mergeCell ref="A3:A5"/>
    <mergeCell ref="B3:B5"/>
    <mergeCell ref="C3:C5"/>
    <mergeCell ref="D3:D5"/>
    <mergeCell ref="E4:E5"/>
    <mergeCell ref="H3:H5"/>
    <mergeCell ref="G4:G5"/>
    <mergeCell ref="E3:G3"/>
    <mergeCell ref="N4:N5"/>
    <mergeCell ref="O4:O5"/>
    <mergeCell ref="I4:I5"/>
    <mergeCell ref="Q4:Q5"/>
    <mergeCell ref="K4:K5"/>
    <mergeCell ref="B11:E11"/>
    <mergeCell ref="F4:F5"/>
    <mergeCell ref="U3:U5"/>
    <mergeCell ref="J4:J5"/>
    <mergeCell ref="R4:R5"/>
    <mergeCell ref="S4:S5"/>
    <mergeCell ref="T4:T5"/>
    <mergeCell ref="M4:M5"/>
    <mergeCell ref="I3:T3"/>
    <mergeCell ref="P4:P5"/>
    <mergeCell ref="U6:U7"/>
  </mergeCells>
  <pageMargins left="0.25" right="0.25" top="0.75" bottom="0.75" header="0.3" footer="0.3"/>
  <pageSetup paperSize="9" scale="6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75" style="14" bestFit="1" customWidth="1"/>
    <col min="2" max="2" width="17.75" style="1" customWidth="1"/>
    <col min="3" max="4" width="6" style="17" customWidth="1"/>
    <col min="5" max="5" width="6.875" style="17" bestFit="1" customWidth="1"/>
    <col min="6" max="6" width="6.75" style="17" bestFit="1" customWidth="1"/>
    <col min="7" max="8" width="6" style="17" customWidth="1"/>
    <col min="9" max="9" width="6.875" style="17" bestFit="1" customWidth="1"/>
    <col min="10" max="10" width="6.75" style="17" bestFit="1" customWidth="1"/>
    <col min="11" max="12" width="6" style="14" customWidth="1"/>
    <col min="13" max="13" width="6.875" style="14" bestFit="1" customWidth="1"/>
    <col min="14" max="14" width="6.75" style="14" bestFit="1" customWidth="1"/>
    <col min="15" max="16384" width="9" style="1"/>
  </cols>
  <sheetData>
    <row r="1" spans="1:14" ht="23.25">
      <c r="A1" s="16" t="s">
        <v>38</v>
      </c>
      <c r="B1" s="16"/>
    </row>
    <row r="2" spans="1:14" s="2" customFormat="1">
      <c r="A2" s="2095" t="s">
        <v>0</v>
      </c>
      <c r="B2" s="2095" t="s">
        <v>1</v>
      </c>
      <c r="C2" s="2094" t="s">
        <v>39</v>
      </c>
      <c r="D2" s="2094"/>
      <c r="E2" s="2094"/>
      <c r="F2" s="2094"/>
      <c r="G2" s="2096" t="s">
        <v>40</v>
      </c>
      <c r="H2" s="2096"/>
      <c r="I2" s="2096"/>
      <c r="J2" s="2096"/>
      <c r="K2" s="2097" t="s">
        <v>4</v>
      </c>
      <c r="L2" s="2097"/>
      <c r="M2" s="2097"/>
      <c r="N2" s="2097"/>
    </row>
    <row r="3" spans="1:14" s="3" customFormat="1">
      <c r="A3" s="2095"/>
      <c r="B3" s="2095"/>
      <c r="C3" s="21" t="s">
        <v>34</v>
      </c>
      <c r="D3" s="21" t="s">
        <v>35</v>
      </c>
      <c r="E3" s="21" t="s">
        <v>36</v>
      </c>
      <c r="F3" s="21" t="s">
        <v>37</v>
      </c>
      <c r="G3" s="18" t="s">
        <v>34</v>
      </c>
      <c r="H3" s="18" t="s">
        <v>35</v>
      </c>
      <c r="I3" s="18" t="s">
        <v>36</v>
      </c>
      <c r="J3" s="18" t="s">
        <v>37</v>
      </c>
      <c r="K3" s="25" t="s">
        <v>34</v>
      </c>
      <c r="L3" s="25" t="s">
        <v>35</v>
      </c>
      <c r="M3" s="25" t="s">
        <v>36</v>
      </c>
      <c r="N3" s="25" t="s">
        <v>37</v>
      </c>
    </row>
    <row r="4" spans="1:14">
      <c r="A4" s="4">
        <v>1</v>
      </c>
      <c r="B4" s="5" t="s">
        <v>17</v>
      </c>
      <c r="C4" s="22">
        <v>3</v>
      </c>
      <c r="D4" s="22">
        <v>1</v>
      </c>
      <c r="E4" s="22"/>
      <c r="F4" s="22">
        <v>3</v>
      </c>
      <c r="G4" s="19"/>
      <c r="H4" s="19"/>
      <c r="I4" s="19"/>
      <c r="J4" s="19"/>
      <c r="K4" s="27">
        <f>C4+G4</f>
        <v>3</v>
      </c>
      <c r="L4" s="27">
        <f>D4+H4</f>
        <v>1</v>
      </c>
      <c r="M4" s="27">
        <f>E4+I4</f>
        <v>0</v>
      </c>
      <c r="N4" s="27">
        <f>F4+J4</f>
        <v>3</v>
      </c>
    </row>
    <row r="5" spans="1:14">
      <c r="A5" s="6">
        <v>2</v>
      </c>
      <c r="B5" s="7" t="s">
        <v>18</v>
      </c>
      <c r="C5" s="22">
        <v>6</v>
      </c>
      <c r="D5" s="22"/>
      <c r="E5" s="22"/>
      <c r="F5" s="22"/>
      <c r="G5" s="19">
        <f>4+2</f>
        <v>6</v>
      </c>
      <c r="H5" s="19">
        <v>1</v>
      </c>
      <c r="I5" s="19"/>
      <c r="J5" s="19">
        <v>1</v>
      </c>
      <c r="K5" s="27">
        <f t="shared" ref="K5:K17" si="0">C5+G5</f>
        <v>12</v>
      </c>
      <c r="L5" s="27">
        <f t="shared" ref="L5:L17" si="1">D5+H5</f>
        <v>1</v>
      </c>
      <c r="M5" s="27">
        <f t="shared" ref="M5:M17" si="2">E5+I5</f>
        <v>0</v>
      </c>
      <c r="N5" s="27">
        <f t="shared" ref="N5:N17" si="3">F5+J5</f>
        <v>1</v>
      </c>
    </row>
    <row r="6" spans="1:14">
      <c r="A6" s="6">
        <v>3</v>
      </c>
      <c r="B6" s="7" t="s">
        <v>19</v>
      </c>
      <c r="C6" s="22">
        <v>4</v>
      </c>
      <c r="D6" s="22"/>
      <c r="E6" s="22"/>
      <c r="F6" s="22"/>
      <c r="G6" s="19">
        <v>5</v>
      </c>
      <c r="H6" s="19">
        <v>2</v>
      </c>
      <c r="I6" s="19"/>
      <c r="J6" s="19"/>
      <c r="K6" s="27">
        <f t="shared" si="0"/>
        <v>9</v>
      </c>
      <c r="L6" s="27">
        <f t="shared" si="1"/>
        <v>2</v>
      </c>
      <c r="M6" s="27">
        <f t="shared" si="2"/>
        <v>0</v>
      </c>
      <c r="N6" s="27">
        <f t="shared" si="3"/>
        <v>0</v>
      </c>
    </row>
    <row r="7" spans="1:14">
      <c r="A7" s="6">
        <v>4</v>
      </c>
      <c r="B7" s="7" t="s">
        <v>20</v>
      </c>
      <c r="C7" s="22">
        <v>1</v>
      </c>
      <c r="D7" s="22">
        <v>1</v>
      </c>
      <c r="E7" s="22"/>
      <c r="F7" s="22"/>
      <c r="G7" s="19"/>
      <c r="H7" s="19">
        <v>1</v>
      </c>
      <c r="I7" s="19"/>
      <c r="J7" s="19"/>
      <c r="K7" s="27">
        <f t="shared" si="0"/>
        <v>1</v>
      </c>
      <c r="L7" s="27">
        <f t="shared" si="1"/>
        <v>2</v>
      </c>
      <c r="M7" s="27">
        <f t="shared" si="2"/>
        <v>0</v>
      </c>
      <c r="N7" s="27">
        <f t="shared" si="3"/>
        <v>0</v>
      </c>
    </row>
    <row r="8" spans="1:14">
      <c r="A8" s="6">
        <v>5</v>
      </c>
      <c r="B8" s="7" t="s">
        <v>21</v>
      </c>
      <c r="C8" s="22">
        <v>9</v>
      </c>
      <c r="D8" s="22">
        <v>9</v>
      </c>
      <c r="E8" s="22"/>
      <c r="F8" s="22">
        <v>1</v>
      </c>
      <c r="G8" s="19"/>
      <c r="H8" s="19"/>
      <c r="I8" s="19"/>
      <c r="J8" s="19"/>
      <c r="K8" s="27">
        <f t="shared" si="0"/>
        <v>9</v>
      </c>
      <c r="L8" s="27">
        <f t="shared" si="1"/>
        <v>9</v>
      </c>
      <c r="M8" s="27">
        <f t="shared" si="2"/>
        <v>0</v>
      </c>
      <c r="N8" s="27">
        <f t="shared" si="3"/>
        <v>1</v>
      </c>
    </row>
    <row r="9" spans="1:14">
      <c r="A9" s="6">
        <v>6</v>
      </c>
      <c r="B9" s="7" t="s">
        <v>22</v>
      </c>
      <c r="C9" s="23"/>
      <c r="D9" s="23"/>
      <c r="E9" s="23"/>
      <c r="F9" s="23"/>
      <c r="G9" s="19">
        <v>4</v>
      </c>
      <c r="H9" s="19"/>
      <c r="I9" s="19"/>
      <c r="J9" s="19">
        <v>1</v>
      </c>
      <c r="K9" s="27">
        <f t="shared" si="0"/>
        <v>4</v>
      </c>
      <c r="L9" s="27">
        <f t="shared" si="1"/>
        <v>0</v>
      </c>
      <c r="M9" s="27">
        <f t="shared" si="2"/>
        <v>0</v>
      </c>
      <c r="N9" s="27">
        <f t="shared" si="3"/>
        <v>1</v>
      </c>
    </row>
    <row r="10" spans="1:14">
      <c r="A10" s="6">
        <v>7</v>
      </c>
      <c r="B10" s="7" t="s">
        <v>23</v>
      </c>
      <c r="C10" s="22">
        <v>10</v>
      </c>
      <c r="D10" s="22">
        <v>1</v>
      </c>
      <c r="E10" s="22"/>
      <c r="F10" s="22">
        <v>1</v>
      </c>
      <c r="G10" s="19">
        <v>2</v>
      </c>
      <c r="H10" s="19">
        <v>2</v>
      </c>
      <c r="I10" s="19"/>
      <c r="J10" s="19">
        <v>2</v>
      </c>
      <c r="K10" s="27">
        <f t="shared" si="0"/>
        <v>12</v>
      </c>
      <c r="L10" s="27">
        <f t="shared" si="1"/>
        <v>3</v>
      </c>
      <c r="M10" s="27">
        <f t="shared" si="2"/>
        <v>0</v>
      </c>
      <c r="N10" s="27">
        <f t="shared" si="3"/>
        <v>3</v>
      </c>
    </row>
    <row r="11" spans="1:14">
      <c r="A11" s="6">
        <v>8</v>
      </c>
      <c r="B11" s="7" t="s">
        <v>24</v>
      </c>
      <c r="C11" s="22">
        <v>7</v>
      </c>
      <c r="D11" s="22">
        <v>13</v>
      </c>
      <c r="E11" s="22">
        <v>1</v>
      </c>
      <c r="F11" s="22">
        <v>2</v>
      </c>
      <c r="G11" s="19"/>
      <c r="H11" s="19"/>
      <c r="I11" s="19"/>
      <c r="J11" s="19"/>
      <c r="K11" s="27">
        <f t="shared" si="0"/>
        <v>7</v>
      </c>
      <c r="L11" s="27">
        <f t="shared" si="1"/>
        <v>13</v>
      </c>
      <c r="M11" s="27">
        <f t="shared" si="2"/>
        <v>1</v>
      </c>
      <c r="N11" s="27">
        <f t="shared" si="3"/>
        <v>2</v>
      </c>
    </row>
    <row r="12" spans="1:14" s="9" customFormat="1">
      <c r="A12" s="6">
        <v>9</v>
      </c>
      <c r="B12" s="7" t="s">
        <v>25</v>
      </c>
      <c r="C12" s="22">
        <v>2</v>
      </c>
      <c r="D12" s="22">
        <v>1</v>
      </c>
      <c r="E12" s="22"/>
      <c r="F12" s="22">
        <v>1</v>
      </c>
      <c r="G12" s="19">
        <v>4</v>
      </c>
      <c r="H12" s="19">
        <v>3</v>
      </c>
      <c r="I12" s="19"/>
      <c r="J12" s="19">
        <v>2</v>
      </c>
      <c r="K12" s="27">
        <f t="shared" si="0"/>
        <v>6</v>
      </c>
      <c r="L12" s="27">
        <f t="shared" si="1"/>
        <v>4</v>
      </c>
      <c r="M12" s="27">
        <f t="shared" si="2"/>
        <v>0</v>
      </c>
      <c r="N12" s="27">
        <f t="shared" si="3"/>
        <v>3</v>
      </c>
    </row>
    <row r="13" spans="1:14">
      <c r="A13" s="6">
        <v>10</v>
      </c>
      <c r="B13" s="7" t="s">
        <v>26</v>
      </c>
      <c r="C13" s="22">
        <v>1</v>
      </c>
      <c r="D13" s="22">
        <v>2</v>
      </c>
      <c r="E13" s="22"/>
      <c r="F13" s="22">
        <v>2</v>
      </c>
      <c r="G13" s="19"/>
      <c r="H13" s="19"/>
      <c r="I13" s="19"/>
      <c r="J13" s="19"/>
      <c r="K13" s="27">
        <f t="shared" si="0"/>
        <v>1</v>
      </c>
      <c r="L13" s="27">
        <f t="shared" si="1"/>
        <v>2</v>
      </c>
      <c r="M13" s="27">
        <f t="shared" si="2"/>
        <v>0</v>
      </c>
      <c r="N13" s="27">
        <f t="shared" si="3"/>
        <v>2</v>
      </c>
    </row>
    <row r="14" spans="1:14">
      <c r="A14" s="6">
        <v>11</v>
      </c>
      <c r="B14" s="7" t="s">
        <v>27</v>
      </c>
      <c r="C14" s="22">
        <v>2</v>
      </c>
      <c r="D14" s="22">
        <v>3</v>
      </c>
      <c r="E14" s="22"/>
      <c r="F14" s="22">
        <v>2</v>
      </c>
      <c r="G14" s="19"/>
      <c r="H14" s="19"/>
      <c r="I14" s="19"/>
      <c r="J14" s="19"/>
      <c r="K14" s="27">
        <f t="shared" si="0"/>
        <v>2</v>
      </c>
      <c r="L14" s="27">
        <f t="shared" si="1"/>
        <v>3</v>
      </c>
      <c r="M14" s="27">
        <f t="shared" si="2"/>
        <v>0</v>
      </c>
      <c r="N14" s="27">
        <f t="shared" si="3"/>
        <v>2</v>
      </c>
    </row>
    <row r="15" spans="1:14">
      <c r="A15" s="10">
        <v>12</v>
      </c>
      <c r="B15" s="11" t="s">
        <v>28</v>
      </c>
      <c r="C15" s="23"/>
      <c r="D15" s="23"/>
      <c r="E15" s="23"/>
      <c r="F15" s="23"/>
      <c r="G15" s="19"/>
      <c r="H15" s="19"/>
      <c r="I15" s="19"/>
      <c r="J15" s="19"/>
      <c r="K15" s="27">
        <f t="shared" si="0"/>
        <v>0</v>
      </c>
      <c r="L15" s="27">
        <f t="shared" si="1"/>
        <v>0</v>
      </c>
      <c r="M15" s="27">
        <f t="shared" si="2"/>
        <v>0</v>
      </c>
      <c r="N15" s="27">
        <f t="shared" si="3"/>
        <v>0</v>
      </c>
    </row>
    <row r="16" spans="1:14">
      <c r="A16" s="15">
        <v>13</v>
      </c>
      <c r="B16" s="8" t="s">
        <v>29</v>
      </c>
      <c r="C16" s="22">
        <v>3</v>
      </c>
      <c r="D16" s="22">
        <v>1</v>
      </c>
      <c r="E16" s="22"/>
      <c r="F16" s="22"/>
      <c r="G16" s="19">
        <v>3</v>
      </c>
      <c r="H16" s="19">
        <v>1</v>
      </c>
      <c r="I16" s="19"/>
      <c r="J16" s="19"/>
      <c r="K16" s="27">
        <f t="shared" si="0"/>
        <v>6</v>
      </c>
      <c r="L16" s="27">
        <f t="shared" si="1"/>
        <v>2</v>
      </c>
      <c r="M16" s="27">
        <f t="shared" si="2"/>
        <v>0</v>
      </c>
      <c r="N16" s="27">
        <f t="shared" si="3"/>
        <v>0</v>
      </c>
    </row>
    <row r="17" spans="1:14">
      <c r="A17" s="6">
        <v>14</v>
      </c>
      <c r="B17" s="7" t="s">
        <v>30</v>
      </c>
      <c r="C17" s="22"/>
      <c r="D17" s="22"/>
      <c r="E17" s="22"/>
      <c r="F17" s="22"/>
      <c r="G17" s="19">
        <v>1</v>
      </c>
      <c r="H17" s="19">
        <v>1</v>
      </c>
      <c r="I17" s="19"/>
      <c r="J17" s="19"/>
      <c r="K17" s="27">
        <f t="shared" si="0"/>
        <v>1</v>
      </c>
      <c r="L17" s="27">
        <f t="shared" si="1"/>
        <v>1</v>
      </c>
      <c r="M17" s="27">
        <f t="shared" si="2"/>
        <v>0</v>
      </c>
      <c r="N17" s="27">
        <f t="shared" si="3"/>
        <v>0</v>
      </c>
    </row>
    <row r="18" spans="1:14" s="13" customFormat="1">
      <c r="A18" s="12"/>
      <c r="B18" s="12" t="s">
        <v>4</v>
      </c>
      <c r="C18" s="24">
        <f t="shared" ref="C18:N18" si="4">SUM(C4:C17)</f>
        <v>48</v>
      </c>
      <c r="D18" s="24">
        <f t="shared" si="4"/>
        <v>32</v>
      </c>
      <c r="E18" s="24">
        <f t="shared" si="4"/>
        <v>1</v>
      </c>
      <c r="F18" s="24">
        <f t="shared" si="4"/>
        <v>12</v>
      </c>
      <c r="G18" s="20">
        <f t="shared" si="4"/>
        <v>25</v>
      </c>
      <c r="H18" s="20">
        <f t="shared" si="4"/>
        <v>11</v>
      </c>
      <c r="I18" s="20">
        <f t="shared" si="4"/>
        <v>0</v>
      </c>
      <c r="J18" s="20">
        <f t="shared" si="4"/>
        <v>6</v>
      </c>
      <c r="K18" s="26">
        <f t="shared" si="4"/>
        <v>73</v>
      </c>
      <c r="L18" s="26">
        <f t="shared" si="4"/>
        <v>43</v>
      </c>
      <c r="M18" s="26">
        <f t="shared" si="4"/>
        <v>1</v>
      </c>
      <c r="N18" s="26">
        <f t="shared" si="4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1"/>
  <sheetViews>
    <sheetView view="pageLayout" zoomScaleNormal="100" workbookViewId="0">
      <selection activeCell="C5" sqref="C5:C10"/>
    </sheetView>
  </sheetViews>
  <sheetFormatPr defaultRowHeight="14.25"/>
  <cols>
    <col min="1" max="1" width="10.875" customWidth="1"/>
    <col min="2" max="2" width="11.25" customWidth="1"/>
    <col min="4" max="4" width="12.375" customWidth="1"/>
    <col min="5" max="5" width="17.625" customWidth="1"/>
    <col min="6" max="6" width="8.375" customWidth="1"/>
    <col min="7" max="7" width="4.875" customWidth="1"/>
    <col min="8" max="8" width="6.875" customWidth="1"/>
    <col min="9" max="14" width="3.125" customWidth="1"/>
    <col min="15" max="15" width="3.625" customWidth="1"/>
    <col min="16" max="20" width="3.125" customWidth="1"/>
    <col min="21" max="21" width="7.875" customWidth="1"/>
    <col min="23" max="23" width="4" customWidth="1"/>
  </cols>
  <sheetData>
    <row r="1" spans="1:21" s="1125" customFormat="1" ht="18.75">
      <c r="A1" s="2118" t="s">
        <v>1553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  <c r="M1" s="2118"/>
      <c r="N1" s="2118"/>
      <c r="O1" s="2118"/>
      <c r="P1" s="2118"/>
      <c r="Q1" s="2118"/>
      <c r="R1" s="2118"/>
      <c r="S1" s="2118"/>
      <c r="T1" s="2118"/>
      <c r="U1" s="2118"/>
    </row>
    <row r="2" spans="1:21" s="1124" customFormat="1" ht="18" customHeight="1">
      <c r="A2" s="2119" t="s">
        <v>1557</v>
      </c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  <c r="T2" s="2119"/>
      <c r="U2" s="2119"/>
    </row>
    <row r="3" spans="1:21" ht="20.100000000000001" customHeight="1">
      <c r="A3" s="2120" t="s">
        <v>1710</v>
      </c>
      <c r="B3" s="2120"/>
      <c r="C3" s="2120"/>
      <c r="D3" s="2120"/>
      <c r="E3" s="2120"/>
      <c r="F3" s="2120"/>
      <c r="G3" s="2120"/>
      <c r="H3" s="2120"/>
      <c r="I3" s="2120"/>
      <c r="J3" s="2120"/>
      <c r="K3" s="2120"/>
      <c r="L3" s="2120"/>
      <c r="M3" s="2120"/>
      <c r="N3" s="2120"/>
      <c r="O3" s="2120"/>
      <c r="P3" s="2120"/>
      <c r="Q3" s="2120"/>
      <c r="R3" s="2120"/>
      <c r="S3" s="2120"/>
      <c r="T3" s="2120"/>
      <c r="U3" s="2120"/>
    </row>
    <row r="4" spans="1:21" ht="20.100000000000001" customHeight="1">
      <c r="A4" s="2120" t="s">
        <v>1767</v>
      </c>
      <c r="B4" s="2120"/>
      <c r="C4" s="2120"/>
      <c r="D4" s="2120"/>
      <c r="E4" s="2120"/>
      <c r="F4" s="2120"/>
      <c r="G4" s="2120"/>
      <c r="H4" s="2120"/>
      <c r="I4" s="2120"/>
      <c r="J4" s="2120"/>
      <c r="K4" s="2120"/>
      <c r="L4" s="2120"/>
      <c r="M4" s="2120"/>
      <c r="N4" s="2120"/>
      <c r="O4" s="2120"/>
      <c r="P4" s="2120"/>
      <c r="Q4" s="2120"/>
      <c r="R4" s="2120"/>
      <c r="S4" s="2120"/>
      <c r="T4" s="2120"/>
      <c r="U4" s="2120"/>
    </row>
    <row r="5" spans="1:21" ht="18.75">
      <c r="A5" s="2121" t="s">
        <v>44</v>
      </c>
      <c r="B5" s="2100" t="s">
        <v>45</v>
      </c>
      <c r="C5" s="2100" t="s">
        <v>46</v>
      </c>
      <c r="D5" s="2100" t="s">
        <v>47</v>
      </c>
      <c r="E5" s="2100" t="s">
        <v>48</v>
      </c>
      <c r="F5" s="2100"/>
      <c r="G5" s="2100"/>
      <c r="H5" s="2100" t="s">
        <v>1533</v>
      </c>
      <c r="I5" s="2099" t="s">
        <v>50</v>
      </c>
      <c r="J5" s="2099"/>
      <c r="K5" s="2099"/>
      <c r="L5" s="2099"/>
      <c r="M5" s="2099"/>
      <c r="N5" s="2099"/>
      <c r="O5" s="2099"/>
      <c r="P5" s="2099"/>
      <c r="Q5" s="2099"/>
      <c r="R5" s="2099"/>
      <c r="S5" s="2099"/>
      <c r="T5" s="2099"/>
      <c r="U5" s="2100" t="s">
        <v>153</v>
      </c>
    </row>
    <row r="6" spans="1:21" ht="34.5">
      <c r="A6" s="2122"/>
      <c r="B6" s="2121"/>
      <c r="C6" s="2121"/>
      <c r="D6" s="2100"/>
      <c r="E6" s="1160" t="s">
        <v>52</v>
      </c>
      <c r="F6" s="1161" t="s">
        <v>1534</v>
      </c>
      <c r="G6" s="1161" t="s">
        <v>1559</v>
      </c>
      <c r="H6" s="2121"/>
      <c r="I6" s="1162" t="s">
        <v>55</v>
      </c>
      <c r="J6" s="1162" t="s">
        <v>56</v>
      </c>
      <c r="K6" s="1163" t="s">
        <v>57</v>
      </c>
      <c r="L6" s="1162" t="s">
        <v>58</v>
      </c>
      <c r="M6" s="1162" t="s">
        <v>59</v>
      </c>
      <c r="N6" s="1162" t="s">
        <v>60</v>
      </c>
      <c r="O6" s="1162" t="s">
        <v>61</v>
      </c>
      <c r="P6" s="1162" t="s">
        <v>62</v>
      </c>
      <c r="Q6" s="1162" t="s">
        <v>63</v>
      </c>
      <c r="R6" s="1162" t="s">
        <v>64</v>
      </c>
      <c r="S6" s="1162" t="s">
        <v>65</v>
      </c>
      <c r="T6" s="1162" t="s">
        <v>66</v>
      </c>
      <c r="U6" s="2100"/>
    </row>
    <row r="7" spans="1:21" ht="57" customHeight="1">
      <c r="A7" s="2101" t="s">
        <v>1560</v>
      </c>
      <c r="B7" s="2104" t="s">
        <v>1561</v>
      </c>
      <c r="C7" s="2104" t="s">
        <v>1562</v>
      </c>
      <c r="D7" s="2104" t="s">
        <v>1563</v>
      </c>
      <c r="E7" s="1165" t="s">
        <v>1564</v>
      </c>
      <c r="F7" s="1166">
        <f>180*1*60</f>
        <v>10800</v>
      </c>
      <c r="G7" s="2107" t="s">
        <v>1753</v>
      </c>
      <c r="H7" s="2110" t="s">
        <v>1712</v>
      </c>
      <c r="I7" s="1167"/>
      <c r="J7" s="1168"/>
      <c r="K7" s="2113">
        <f>F11</f>
        <v>22500</v>
      </c>
      <c r="L7" s="1167"/>
      <c r="M7" s="1169"/>
      <c r="N7" s="1169"/>
      <c r="O7" s="1169"/>
      <c r="P7" s="1169"/>
      <c r="Q7" s="1169"/>
      <c r="R7" s="1169"/>
      <c r="S7" s="1169"/>
      <c r="T7" s="1169"/>
      <c r="U7" s="2115" t="s">
        <v>1565</v>
      </c>
    </row>
    <row r="8" spans="1:21" ht="57" customHeight="1">
      <c r="A8" s="2102"/>
      <c r="B8" s="2105"/>
      <c r="C8" s="2105"/>
      <c r="D8" s="2105"/>
      <c r="E8" s="1171" t="s">
        <v>1566</v>
      </c>
      <c r="F8" s="1172">
        <f>180*2*30</f>
        <v>10800</v>
      </c>
      <c r="G8" s="2108"/>
      <c r="H8" s="2111"/>
      <c r="I8" s="1167"/>
      <c r="J8" s="1168"/>
      <c r="K8" s="2114"/>
      <c r="L8" s="1167"/>
      <c r="M8" s="1169"/>
      <c r="N8" s="1169"/>
      <c r="O8" s="1169"/>
      <c r="P8" s="1169"/>
      <c r="Q8" s="1169"/>
      <c r="R8" s="1169"/>
      <c r="S8" s="1169"/>
      <c r="T8" s="1169"/>
      <c r="U8" s="2116"/>
    </row>
    <row r="9" spans="1:21" ht="53.1" customHeight="1">
      <c r="A9" s="2102"/>
      <c r="B9" s="2105"/>
      <c r="C9" s="2105"/>
      <c r="D9" s="2105"/>
      <c r="E9" s="1173" t="s">
        <v>1567</v>
      </c>
      <c r="F9" s="1174">
        <f>4.5*200</f>
        <v>900</v>
      </c>
      <c r="G9" s="2108"/>
      <c r="H9" s="2111"/>
      <c r="I9" s="1167"/>
      <c r="J9" s="1168"/>
      <c r="K9" s="2114"/>
      <c r="L9" s="1167"/>
      <c r="M9" s="1169"/>
      <c r="N9" s="1169"/>
      <c r="O9" s="1169"/>
      <c r="P9" s="1169"/>
      <c r="Q9" s="1169"/>
      <c r="R9" s="1169"/>
      <c r="S9" s="1169"/>
      <c r="T9" s="1169"/>
      <c r="U9" s="2116"/>
    </row>
    <row r="10" spans="1:21" ht="102" customHeight="1">
      <c r="A10" s="2103"/>
      <c r="B10" s="2106"/>
      <c r="C10" s="2105"/>
      <c r="D10" s="2105"/>
      <c r="E10" s="1165"/>
      <c r="F10" s="1166"/>
      <c r="G10" s="2109"/>
      <c r="H10" s="2112"/>
      <c r="I10" s="1167"/>
      <c r="J10" s="1168"/>
      <c r="K10" s="2114"/>
      <c r="L10" s="1167"/>
      <c r="M10" s="1169"/>
      <c r="N10" s="1169"/>
      <c r="O10" s="1169"/>
      <c r="P10" s="1169"/>
      <c r="Q10" s="1169"/>
      <c r="R10" s="1169"/>
      <c r="S10" s="1169"/>
      <c r="T10" s="1169"/>
      <c r="U10" s="2117"/>
    </row>
    <row r="11" spans="1:21" ht="42" customHeight="1">
      <c r="A11" s="2098"/>
      <c r="B11" s="2098"/>
      <c r="C11" s="2098"/>
      <c r="D11" s="2098"/>
      <c r="E11" s="1175" t="s">
        <v>139</v>
      </c>
      <c r="F11" s="1176">
        <f>SUM(F7:F10)</f>
        <v>22500</v>
      </c>
      <c r="G11" s="1177"/>
      <c r="H11" s="1178"/>
      <c r="I11" s="1179">
        <f t="shared" ref="I11:J11" si="0">SUM(I7)</f>
        <v>0</v>
      </c>
      <c r="J11" s="1179">
        <f t="shared" si="0"/>
        <v>0</v>
      </c>
      <c r="K11" s="1179">
        <f>SUM(K7)</f>
        <v>22500</v>
      </c>
      <c r="L11" s="1179">
        <f t="shared" ref="L11:T11" si="1">SUM(L7)</f>
        <v>0</v>
      </c>
      <c r="M11" s="1179">
        <f t="shared" si="1"/>
        <v>0</v>
      </c>
      <c r="N11" s="1179">
        <f t="shared" si="1"/>
        <v>0</v>
      </c>
      <c r="O11" s="1179">
        <f t="shared" si="1"/>
        <v>0</v>
      </c>
      <c r="P11" s="1179">
        <f t="shared" si="1"/>
        <v>0</v>
      </c>
      <c r="Q11" s="1179">
        <f t="shared" si="1"/>
        <v>0</v>
      </c>
      <c r="R11" s="1179">
        <f t="shared" si="1"/>
        <v>0</v>
      </c>
      <c r="S11" s="1179">
        <f t="shared" si="1"/>
        <v>0</v>
      </c>
      <c r="T11" s="1179">
        <f t="shared" si="1"/>
        <v>0</v>
      </c>
      <c r="U11" s="1180"/>
    </row>
  </sheetData>
  <mergeCells count="21">
    <mergeCell ref="A1:U1"/>
    <mergeCell ref="A2:U2"/>
    <mergeCell ref="A3:U3"/>
    <mergeCell ref="A4:U4"/>
    <mergeCell ref="A5:A6"/>
    <mergeCell ref="B5:B6"/>
    <mergeCell ref="C5:C6"/>
    <mergeCell ref="D5:D6"/>
    <mergeCell ref="E5:G5"/>
    <mergeCell ref="H5:H6"/>
    <mergeCell ref="A11:D11"/>
    <mergeCell ref="I5:T5"/>
    <mergeCell ref="U5:U6"/>
    <mergeCell ref="A7:A10"/>
    <mergeCell ref="B7:B10"/>
    <mergeCell ref="C7:C10"/>
    <mergeCell ref="D7:D10"/>
    <mergeCell ref="G7:G10"/>
    <mergeCell ref="H7:H10"/>
    <mergeCell ref="K7:K10"/>
    <mergeCell ref="U7:U10"/>
  </mergeCells>
  <pageMargins left="0.19685039370078741" right="0.19685039370078741" top="0.98425196850393704" bottom="0.39370078740157483" header="0.31496062992125984" footer="0.31496062992125984"/>
  <pageSetup paperSize="9" firstPageNumber="112" orientation="landscape" useFirstPageNumber="1" r:id="rId1"/>
  <headerFooter>
    <oddFooter>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Layout" zoomScaleNormal="100" workbookViewId="0">
      <selection activeCell="A4" sqref="A4:U4"/>
    </sheetView>
  </sheetViews>
  <sheetFormatPr defaultRowHeight="14.25"/>
  <cols>
    <col min="1" max="1" width="12.75" customWidth="1"/>
    <col min="2" max="2" width="11.25" customWidth="1"/>
    <col min="3" max="3" width="11.625" customWidth="1"/>
    <col min="4" max="4" width="12.375" customWidth="1"/>
    <col min="5" max="5" width="18.375" customWidth="1"/>
    <col min="6" max="6" width="8.375" style="1210" customWidth="1"/>
    <col min="7" max="7" width="4.875" customWidth="1"/>
    <col min="8" max="8" width="6.875" customWidth="1"/>
    <col min="9" max="9" width="0.125" hidden="1" customWidth="1"/>
    <col min="10" max="20" width="3.125" customWidth="1"/>
    <col min="21" max="21" width="7.875" customWidth="1"/>
    <col min="22" max="22" width="4" customWidth="1"/>
  </cols>
  <sheetData>
    <row r="1" spans="1:21" s="1125" customFormat="1" ht="18.75">
      <c r="A1" s="2118" t="s">
        <v>1553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  <c r="M1" s="2118"/>
      <c r="N1" s="2118"/>
      <c r="O1" s="2118"/>
      <c r="P1" s="2118"/>
      <c r="Q1" s="2118"/>
      <c r="R1" s="2118"/>
      <c r="S1" s="2118"/>
      <c r="T1" s="2118"/>
      <c r="U1" s="2118"/>
    </row>
    <row r="2" spans="1:21" s="1124" customFormat="1" ht="18" customHeight="1">
      <c r="A2" s="2119" t="s">
        <v>1557</v>
      </c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  <c r="T2" s="2119"/>
      <c r="U2" s="2119"/>
    </row>
    <row r="3" spans="1:21" ht="20.100000000000001" customHeight="1">
      <c r="A3" s="2120" t="s">
        <v>1710</v>
      </c>
      <c r="B3" s="2120"/>
      <c r="C3" s="2120"/>
      <c r="D3" s="2120"/>
      <c r="E3" s="2120"/>
      <c r="F3" s="2120"/>
      <c r="G3" s="2120"/>
      <c r="H3" s="2120"/>
      <c r="I3" s="2120"/>
      <c r="J3" s="2120"/>
      <c r="K3" s="2120"/>
      <c r="L3" s="2120"/>
      <c r="M3" s="2120"/>
      <c r="N3" s="2120"/>
      <c r="O3" s="2120"/>
      <c r="P3" s="2120"/>
      <c r="Q3" s="2120"/>
      <c r="R3" s="2120"/>
      <c r="S3" s="2120"/>
      <c r="T3" s="2120"/>
      <c r="U3" s="2120"/>
    </row>
    <row r="4" spans="1:21" ht="20.100000000000001" customHeight="1">
      <c r="A4" s="2120" t="s">
        <v>1768</v>
      </c>
      <c r="B4" s="2120"/>
      <c r="C4" s="2120"/>
      <c r="D4" s="2120"/>
      <c r="E4" s="2120"/>
      <c r="F4" s="2120"/>
      <c r="G4" s="2120"/>
      <c r="H4" s="2120"/>
      <c r="I4" s="2120"/>
      <c r="J4" s="2120"/>
      <c r="K4" s="2120"/>
      <c r="L4" s="2120"/>
      <c r="M4" s="2120"/>
      <c r="N4" s="2120"/>
      <c r="O4" s="2120"/>
      <c r="P4" s="2120"/>
      <c r="Q4" s="2120"/>
      <c r="R4" s="2120"/>
      <c r="S4" s="2120"/>
      <c r="T4" s="2120"/>
      <c r="U4" s="2120"/>
    </row>
    <row r="5" spans="1:21" ht="18.75">
      <c r="A5" s="2100" t="s">
        <v>44</v>
      </c>
      <c r="B5" s="2100" t="s">
        <v>45</v>
      </c>
      <c r="C5" s="2100" t="s">
        <v>46</v>
      </c>
      <c r="D5" s="2100" t="s">
        <v>47</v>
      </c>
      <c r="E5" s="2136" t="s">
        <v>48</v>
      </c>
      <c r="F5" s="2136"/>
      <c r="G5" s="2136"/>
      <c r="H5" s="2136" t="s">
        <v>1533</v>
      </c>
      <c r="I5" s="2138" t="s">
        <v>50</v>
      </c>
      <c r="J5" s="2138"/>
      <c r="K5" s="2138"/>
      <c r="L5" s="2138"/>
      <c r="M5" s="2138"/>
      <c r="N5" s="2138"/>
      <c r="O5" s="2138"/>
      <c r="P5" s="2138"/>
      <c r="Q5" s="2138"/>
      <c r="R5" s="2138"/>
      <c r="S5" s="2138"/>
      <c r="T5" s="2138"/>
      <c r="U5" s="2100" t="s">
        <v>153</v>
      </c>
    </row>
    <row r="6" spans="1:21" ht="18.75" customHeight="1">
      <c r="A6" s="2100"/>
      <c r="B6" s="2121"/>
      <c r="C6" s="2121"/>
      <c r="D6" s="2100"/>
      <c r="E6" s="1181" t="s">
        <v>52</v>
      </c>
      <c r="F6" s="1182" t="s">
        <v>1534</v>
      </c>
      <c r="G6" s="1183" t="s">
        <v>1559</v>
      </c>
      <c r="H6" s="2137"/>
      <c r="I6" s="1184" t="s">
        <v>55</v>
      </c>
      <c r="J6" s="1184" t="s">
        <v>56</v>
      </c>
      <c r="K6" s="1185" t="s">
        <v>57</v>
      </c>
      <c r="L6" s="1184" t="s">
        <v>58</v>
      </c>
      <c r="M6" s="1184" t="s">
        <v>59</v>
      </c>
      <c r="N6" s="1184" t="s">
        <v>60</v>
      </c>
      <c r="O6" s="1184" t="s">
        <v>1568</v>
      </c>
      <c r="P6" s="1184" t="s">
        <v>62</v>
      </c>
      <c r="Q6" s="1184" t="s">
        <v>63</v>
      </c>
      <c r="R6" s="1184" t="s">
        <v>64</v>
      </c>
      <c r="S6" s="1184" t="s">
        <v>65</v>
      </c>
      <c r="T6" s="1184" t="s">
        <v>66</v>
      </c>
      <c r="U6" s="2100"/>
    </row>
    <row r="7" spans="1:21" ht="95.25" customHeight="1">
      <c r="A7" s="2104" t="s">
        <v>1569</v>
      </c>
      <c r="B7" s="2104" t="s">
        <v>1570</v>
      </c>
      <c r="C7" s="2104" t="s">
        <v>1571</v>
      </c>
      <c r="D7" s="2104" t="s">
        <v>1572</v>
      </c>
      <c r="E7" s="1150" t="s">
        <v>1573</v>
      </c>
      <c r="F7" s="1186">
        <f>50*4*30</f>
        <v>6000</v>
      </c>
      <c r="G7" s="1187" t="s">
        <v>1574</v>
      </c>
      <c r="H7" s="1151" t="s">
        <v>1749</v>
      </c>
      <c r="I7" s="1188"/>
      <c r="J7" s="1189">
        <f>F8/4</f>
        <v>1500</v>
      </c>
      <c r="K7" s="1188"/>
      <c r="L7" s="1188"/>
      <c r="M7" s="1189">
        <f>F8/4</f>
        <v>1500</v>
      </c>
      <c r="N7" s="1188"/>
      <c r="O7" s="1188"/>
      <c r="P7" s="1189">
        <f>F8/4</f>
        <v>1500</v>
      </c>
      <c r="Q7" s="1188"/>
      <c r="R7" s="1188"/>
      <c r="S7" s="1189">
        <f>F8/4</f>
        <v>1500</v>
      </c>
      <c r="T7" s="1188"/>
      <c r="U7" s="1190" t="s">
        <v>1575</v>
      </c>
    </row>
    <row r="8" spans="1:21" ht="18.75">
      <c r="A8" s="2132"/>
      <c r="B8" s="2132"/>
      <c r="C8" s="2132"/>
      <c r="D8" s="2132"/>
      <c r="E8" s="1191" t="s">
        <v>4</v>
      </c>
      <c r="F8" s="1192">
        <f>F7</f>
        <v>6000</v>
      </c>
      <c r="G8" s="1193"/>
      <c r="H8" s="1151"/>
      <c r="I8" s="1188"/>
      <c r="J8" s="1188"/>
      <c r="K8" s="1188"/>
      <c r="L8" s="1188"/>
      <c r="M8" s="1188"/>
      <c r="N8" s="1188"/>
      <c r="O8" s="1188"/>
      <c r="P8" s="1188"/>
      <c r="Q8" s="1188"/>
      <c r="R8" s="1188"/>
      <c r="S8" s="1188"/>
      <c r="T8" s="1188"/>
      <c r="U8" s="1194"/>
    </row>
    <row r="9" spans="1:21" ht="58.5" customHeight="1">
      <c r="A9" s="2104" t="s">
        <v>1576</v>
      </c>
      <c r="B9" s="2104" t="s">
        <v>1577</v>
      </c>
      <c r="C9" s="2104" t="s">
        <v>1578</v>
      </c>
      <c r="D9" s="2104" t="s">
        <v>1579</v>
      </c>
      <c r="E9" s="1195" t="s">
        <v>1580</v>
      </c>
      <c r="F9" s="1196">
        <f>150*1*100</f>
        <v>15000</v>
      </c>
      <c r="G9" s="2107" t="s">
        <v>1574</v>
      </c>
      <c r="H9" s="2133" t="s">
        <v>1581</v>
      </c>
      <c r="I9" s="2123"/>
      <c r="J9" s="2123"/>
      <c r="K9" s="2123"/>
      <c r="L9" s="2129">
        <f>F14</f>
        <v>33000</v>
      </c>
      <c r="M9" s="2123"/>
      <c r="N9" s="2123"/>
      <c r="O9" s="2123"/>
      <c r="P9" s="2123"/>
      <c r="Q9" s="2123"/>
      <c r="R9" s="2123"/>
      <c r="S9" s="2123"/>
      <c r="T9" s="2123"/>
      <c r="U9" s="2115" t="s">
        <v>1575</v>
      </c>
    </row>
    <row r="10" spans="1:21" ht="56.25">
      <c r="A10" s="2105"/>
      <c r="B10" s="2105"/>
      <c r="C10" s="2105"/>
      <c r="D10" s="2105"/>
      <c r="E10" s="1197" t="s">
        <v>1582</v>
      </c>
      <c r="F10" s="1186">
        <f>150*2*30</f>
        <v>9000</v>
      </c>
      <c r="G10" s="2108"/>
      <c r="H10" s="2134"/>
      <c r="I10" s="2124"/>
      <c r="J10" s="2124"/>
      <c r="K10" s="2124"/>
      <c r="L10" s="2130"/>
      <c r="M10" s="2124"/>
      <c r="N10" s="2124"/>
      <c r="O10" s="2124"/>
      <c r="P10" s="2124"/>
      <c r="Q10" s="2124"/>
      <c r="R10" s="2124"/>
      <c r="S10" s="2124"/>
      <c r="T10" s="2124"/>
      <c r="U10" s="2116"/>
    </row>
    <row r="11" spans="1:21" ht="50.25" customHeight="1">
      <c r="A11" s="2105"/>
      <c r="B11" s="2105"/>
      <c r="C11" s="2105"/>
      <c r="D11" s="2105"/>
      <c r="E11" s="1198" t="s">
        <v>1567</v>
      </c>
      <c r="F11" s="1174">
        <f>4.5*200</f>
        <v>900</v>
      </c>
      <c r="G11" s="2108"/>
      <c r="H11" s="2134"/>
      <c r="I11" s="2124"/>
      <c r="J11" s="2124"/>
      <c r="K11" s="2124"/>
      <c r="L11" s="2130"/>
      <c r="M11" s="2124"/>
      <c r="N11" s="2124"/>
      <c r="O11" s="2124"/>
      <c r="P11" s="2124"/>
      <c r="Q11" s="2124"/>
      <c r="R11" s="2124"/>
      <c r="S11" s="2124"/>
      <c r="T11" s="2124"/>
      <c r="U11" s="2116"/>
    </row>
    <row r="12" spans="1:21" ht="60" customHeight="1">
      <c r="A12" s="2105"/>
      <c r="B12" s="2105"/>
      <c r="C12" s="2105"/>
      <c r="D12" s="2105"/>
      <c r="E12" s="1199" t="s">
        <v>1583</v>
      </c>
      <c r="F12" s="1200">
        <f>6*600</f>
        <v>3600</v>
      </c>
      <c r="G12" s="2108"/>
      <c r="H12" s="2134"/>
      <c r="I12" s="2124"/>
      <c r="J12" s="2124"/>
      <c r="K12" s="2124"/>
      <c r="L12" s="2130"/>
      <c r="M12" s="2124"/>
      <c r="N12" s="2124"/>
      <c r="O12" s="2124"/>
      <c r="P12" s="2124"/>
      <c r="Q12" s="2124"/>
      <c r="R12" s="2124"/>
      <c r="S12" s="2124"/>
      <c r="T12" s="2124"/>
      <c r="U12" s="2116"/>
    </row>
    <row r="13" spans="1:21" ht="37.5">
      <c r="A13" s="2105"/>
      <c r="B13" s="2105"/>
      <c r="C13" s="2105"/>
      <c r="D13" s="2105"/>
      <c r="E13" s="1201" t="s">
        <v>1584</v>
      </c>
      <c r="F13" s="1202">
        <f>150*30</f>
        <v>4500</v>
      </c>
      <c r="G13" s="2109"/>
      <c r="H13" s="2135"/>
      <c r="I13" s="2125"/>
      <c r="J13" s="2125"/>
      <c r="K13" s="2125"/>
      <c r="L13" s="2131"/>
      <c r="M13" s="2125"/>
      <c r="N13" s="2125"/>
      <c r="O13" s="2125"/>
      <c r="P13" s="2125"/>
      <c r="Q13" s="2125"/>
      <c r="R13" s="2125"/>
      <c r="S13" s="2125"/>
      <c r="T13" s="2125"/>
      <c r="U13" s="2117"/>
    </row>
    <row r="14" spans="1:21" ht="18.75">
      <c r="A14" s="2132"/>
      <c r="B14" s="2132"/>
      <c r="C14" s="2132"/>
      <c r="D14" s="2132"/>
      <c r="E14" s="1191" t="s">
        <v>4</v>
      </c>
      <c r="F14" s="1192">
        <f>SUM(F9:F13)</f>
        <v>33000</v>
      </c>
      <c r="G14" s="1203"/>
      <c r="H14" s="1151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204"/>
    </row>
    <row r="15" spans="1:21" ht="56.25">
      <c r="A15" s="2104" t="s">
        <v>1585</v>
      </c>
      <c r="B15" s="2104" t="s">
        <v>1586</v>
      </c>
      <c r="C15" s="2104" t="s">
        <v>1587</v>
      </c>
      <c r="D15" s="2104" t="s">
        <v>1588</v>
      </c>
      <c r="E15" s="1165" t="s">
        <v>1589</v>
      </c>
      <c r="F15" s="1186">
        <f>100*1*100</f>
        <v>10000</v>
      </c>
      <c r="G15" s="2107" t="s">
        <v>1574</v>
      </c>
      <c r="H15" s="2133" t="s">
        <v>1581</v>
      </c>
      <c r="I15" s="2123"/>
      <c r="J15" s="2123"/>
      <c r="K15" s="2123"/>
      <c r="L15" s="2129">
        <f>F19</f>
        <v>37000</v>
      </c>
      <c r="M15" s="2123"/>
      <c r="N15" s="2123"/>
      <c r="O15" s="2123"/>
      <c r="P15" s="2123"/>
      <c r="Q15" s="2123"/>
      <c r="R15" s="2123"/>
      <c r="S15" s="2123"/>
      <c r="T15" s="2123"/>
      <c r="U15" s="2126" t="s">
        <v>1575</v>
      </c>
    </row>
    <row r="16" spans="1:21" ht="56.25">
      <c r="A16" s="2105"/>
      <c r="B16" s="2105"/>
      <c r="C16" s="2105"/>
      <c r="D16" s="2105"/>
      <c r="E16" s="1205" t="s">
        <v>1590</v>
      </c>
      <c r="F16" s="1186">
        <f>100*2*30</f>
        <v>6000</v>
      </c>
      <c r="G16" s="2108"/>
      <c r="H16" s="2134"/>
      <c r="I16" s="2124"/>
      <c r="J16" s="2124"/>
      <c r="K16" s="2124"/>
      <c r="L16" s="2130"/>
      <c r="M16" s="2124"/>
      <c r="N16" s="2124"/>
      <c r="O16" s="2124"/>
      <c r="P16" s="2124"/>
      <c r="Q16" s="2124"/>
      <c r="R16" s="2124"/>
      <c r="S16" s="2124"/>
      <c r="T16" s="2124"/>
      <c r="U16" s="2127"/>
    </row>
    <row r="17" spans="1:21" ht="39" customHeight="1">
      <c r="A17" s="2105"/>
      <c r="B17" s="2105"/>
      <c r="C17" s="2105"/>
      <c r="D17" s="2105"/>
      <c r="E17" s="1165" t="s">
        <v>1763</v>
      </c>
      <c r="F17" s="1166">
        <f>1*3000</f>
        <v>3000</v>
      </c>
      <c r="G17" s="2108"/>
      <c r="H17" s="2134"/>
      <c r="I17" s="2124"/>
      <c r="J17" s="2124"/>
      <c r="K17" s="2124"/>
      <c r="L17" s="2130"/>
      <c r="M17" s="2124"/>
      <c r="N17" s="2124"/>
      <c r="O17" s="2124"/>
      <c r="P17" s="2124"/>
      <c r="Q17" s="2124"/>
      <c r="R17" s="2124"/>
      <c r="S17" s="2124"/>
      <c r="T17" s="2124"/>
      <c r="U17" s="2127"/>
    </row>
    <row r="18" spans="1:21" ht="210.75" customHeight="1">
      <c r="A18" s="2105"/>
      <c r="B18" s="2105"/>
      <c r="C18" s="2105"/>
      <c r="D18" s="2105"/>
      <c r="E18" s="1165" t="s">
        <v>1764</v>
      </c>
      <c r="F18" s="1166">
        <f>1500*5+5*300+10*400+2*500+10*400</f>
        <v>18000</v>
      </c>
      <c r="G18" s="2109"/>
      <c r="H18" s="2135"/>
      <c r="I18" s="2125"/>
      <c r="J18" s="2125"/>
      <c r="K18" s="2125"/>
      <c r="L18" s="2131"/>
      <c r="M18" s="2125"/>
      <c r="N18" s="2125"/>
      <c r="O18" s="2125"/>
      <c r="P18" s="2125"/>
      <c r="Q18" s="2125"/>
      <c r="R18" s="2125"/>
      <c r="S18" s="2125"/>
      <c r="T18" s="2125"/>
      <c r="U18" s="2128"/>
    </row>
    <row r="19" spans="1:21" ht="21" customHeight="1">
      <c r="A19" s="2132"/>
      <c r="B19" s="2132"/>
      <c r="C19" s="2132"/>
      <c r="D19" s="2132"/>
      <c r="E19" s="1206" t="s">
        <v>4</v>
      </c>
      <c r="F19" s="1192">
        <f>SUM(F15:F18)</f>
        <v>37000</v>
      </c>
      <c r="G19" s="1193"/>
      <c r="H19" s="1151"/>
      <c r="I19" s="1188"/>
      <c r="J19" s="1188"/>
      <c r="K19" s="1188"/>
      <c r="L19" s="1188"/>
      <c r="M19" s="1188"/>
      <c r="N19" s="1188"/>
      <c r="O19" s="1188"/>
      <c r="P19" s="1188"/>
      <c r="Q19" s="1188"/>
      <c r="R19" s="1188"/>
      <c r="S19" s="1188"/>
      <c r="T19" s="1188"/>
      <c r="U19" s="1207"/>
    </row>
    <row r="20" spans="1:21" ht="44.25" customHeight="1">
      <c r="A20" s="2098"/>
      <c r="B20" s="2098"/>
      <c r="C20" s="2098"/>
      <c r="D20" s="2098"/>
      <c r="E20" s="1175" t="s">
        <v>139</v>
      </c>
      <c r="F20" s="1176">
        <f>SUM(F19,F14,F8)</f>
        <v>76000</v>
      </c>
      <c r="G20" s="1177"/>
      <c r="H20" s="1178"/>
      <c r="I20" s="1208">
        <f>SUM(I7:I19)</f>
        <v>0</v>
      </c>
      <c r="J20" s="1208">
        <f t="shared" ref="J20:T20" si="0">SUM(J7:J19)</f>
        <v>1500</v>
      </c>
      <c r="K20" s="1208">
        <f t="shared" si="0"/>
        <v>0</v>
      </c>
      <c r="L20" s="1208">
        <f t="shared" si="0"/>
        <v>70000</v>
      </c>
      <c r="M20" s="1208">
        <f t="shared" si="0"/>
        <v>1500</v>
      </c>
      <c r="N20" s="1208">
        <f t="shared" si="0"/>
        <v>0</v>
      </c>
      <c r="O20" s="1208">
        <f t="shared" si="0"/>
        <v>0</v>
      </c>
      <c r="P20" s="1208">
        <f t="shared" si="0"/>
        <v>1500</v>
      </c>
      <c r="Q20" s="1208">
        <f t="shared" si="0"/>
        <v>0</v>
      </c>
      <c r="R20" s="1208">
        <f t="shared" si="0"/>
        <v>0</v>
      </c>
      <c r="S20" s="1208">
        <f t="shared" si="0"/>
        <v>1500</v>
      </c>
      <c r="T20" s="1208">
        <f t="shared" si="0"/>
        <v>0</v>
      </c>
      <c r="U20" s="1209"/>
    </row>
  </sheetData>
  <mergeCells count="55">
    <mergeCell ref="A1:U1"/>
    <mergeCell ref="A2:U2"/>
    <mergeCell ref="A3:U3"/>
    <mergeCell ref="A4:U4"/>
    <mergeCell ref="A5:A6"/>
    <mergeCell ref="B5:B6"/>
    <mergeCell ref="C5:C6"/>
    <mergeCell ref="D5:D6"/>
    <mergeCell ref="E5:G5"/>
    <mergeCell ref="H5:H6"/>
    <mergeCell ref="I5:T5"/>
    <mergeCell ref="U5:U6"/>
    <mergeCell ref="A7:A8"/>
    <mergeCell ref="B7:B8"/>
    <mergeCell ref="C7:C8"/>
    <mergeCell ref="D7:D8"/>
    <mergeCell ref="N9:N13"/>
    <mergeCell ref="A9:A14"/>
    <mergeCell ref="B9:B14"/>
    <mergeCell ref="C9:C14"/>
    <mergeCell ref="D9:D14"/>
    <mergeCell ref="G9:G13"/>
    <mergeCell ref="H9:H13"/>
    <mergeCell ref="I9:I13"/>
    <mergeCell ref="J9:J13"/>
    <mergeCell ref="K9:K13"/>
    <mergeCell ref="L9:L13"/>
    <mergeCell ref="M9:M13"/>
    <mergeCell ref="U9:U13"/>
    <mergeCell ref="A15:A19"/>
    <mergeCell ref="B15:B19"/>
    <mergeCell ref="C15:C19"/>
    <mergeCell ref="D15:D19"/>
    <mergeCell ref="G15:G18"/>
    <mergeCell ref="H15:H18"/>
    <mergeCell ref="I15:I18"/>
    <mergeCell ref="J15:J18"/>
    <mergeCell ref="K15:K18"/>
    <mergeCell ref="O9:O13"/>
    <mergeCell ref="P9:P13"/>
    <mergeCell ref="Q9:Q13"/>
    <mergeCell ref="R9:R13"/>
    <mergeCell ref="S9:S13"/>
    <mergeCell ref="T9:T13"/>
    <mergeCell ref="R15:R18"/>
    <mergeCell ref="S15:S18"/>
    <mergeCell ref="T15:T18"/>
    <mergeCell ref="U15:U18"/>
    <mergeCell ref="A20:D20"/>
    <mergeCell ref="L15:L18"/>
    <mergeCell ref="M15:M18"/>
    <mergeCell ref="N15:N18"/>
    <mergeCell ref="O15:O18"/>
    <mergeCell ref="P15:P18"/>
    <mergeCell ref="Q15:Q18"/>
  </mergeCells>
  <pageMargins left="0.19685039370078741" right="0.19685039370078741" top="0.98425196850393704" bottom="0.39370078740157483" header="0.31496062992125984" footer="0.31496062992125984"/>
  <pageSetup paperSize="9" firstPageNumber="113" orientation="landscape" useFirstPageNumber="1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view="pageBreakPreview" zoomScaleSheetLayoutView="100" workbookViewId="0">
      <pane ySplit="3" topLeftCell="A4" activePane="bottomLeft" state="frozen"/>
      <selection pane="bottomLeft" activeCell="F7" sqref="F7"/>
    </sheetView>
  </sheetViews>
  <sheetFormatPr defaultColWidth="3.75" defaultRowHeight="21.75"/>
  <cols>
    <col min="1" max="1" width="5" style="1137" customWidth="1"/>
    <col min="2" max="2" width="47.5" style="1138" customWidth="1"/>
    <col min="3" max="5" width="5.25" style="1137" customWidth="1"/>
    <col min="6" max="7" width="9.25" style="1137" customWidth="1"/>
    <col min="8" max="8" width="9.125" style="1137" customWidth="1"/>
    <col min="9" max="10" width="9" style="1137" customWidth="1"/>
    <col min="11" max="11" width="7.5" style="1137" customWidth="1"/>
    <col min="12" max="12" width="7.625" style="1137" customWidth="1"/>
    <col min="13" max="13" width="11.375" style="1137" customWidth="1"/>
    <col min="14" max="18" width="3.75" style="1130" customWidth="1"/>
    <col min="19" max="16384" width="3.75" style="1130"/>
  </cols>
  <sheetData>
    <row r="1" spans="1:18">
      <c r="A1" s="1424" t="s">
        <v>1555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5"/>
      <c r="O1" s="1425"/>
      <c r="P1" s="1425"/>
      <c r="Q1" s="1425"/>
      <c r="R1" s="1425"/>
    </row>
    <row r="2" spans="1:18" ht="18.75">
      <c r="A2" s="1426" t="s">
        <v>0</v>
      </c>
      <c r="B2" s="1427" t="s">
        <v>1538</v>
      </c>
      <c r="C2" s="1429" t="s">
        <v>1539</v>
      </c>
      <c r="D2" s="1430"/>
      <c r="E2" s="1431"/>
      <c r="F2" s="1432"/>
      <c r="G2" s="1432"/>
      <c r="H2" s="1432"/>
      <c r="I2" s="1432"/>
      <c r="J2" s="1432"/>
      <c r="K2" s="1432"/>
      <c r="L2" s="1432"/>
      <c r="M2" s="1433" t="s">
        <v>1540</v>
      </c>
    </row>
    <row r="3" spans="1:18" ht="40.5" customHeight="1">
      <c r="A3" s="1426"/>
      <c r="B3" s="1428"/>
      <c r="C3" s="1406" t="s">
        <v>2</v>
      </c>
      <c r="D3" s="1406" t="s">
        <v>1541</v>
      </c>
      <c r="E3" s="1406" t="s">
        <v>4</v>
      </c>
      <c r="F3" s="1406" t="s">
        <v>1542</v>
      </c>
      <c r="G3" s="1406" t="s">
        <v>1537</v>
      </c>
      <c r="H3" s="1406" t="s">
        <v>1543</v>
      </c>
      <c r="I3" s="1406" t="s">
        <v>1544</v>
      </c>
      <c r="J3" s="1406" t="s">
        <v>1752</v>
      </c>
      <c r="K3" s="1406" t="s">
        <v>1545</v>
      </c>
      <c r="L3" s="1406" t="s">
        <v>1546</v>
      </c>
      <c r="M3" s="1433"/>
    </row>
    <row r="4" spans="1:18" s="1140" customFormat="1" ht="21" customHeight="1">
      <c r="A4" s="1341"/>
      <c r="B4" s="1342" t="s">
        <v>1556</v>
      </c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</row>
    <row r="5" spans="1:18" s="406" customFormat="1" ht="65.25">
      <c r="A5" s="1159">
        <v>35</v>
      </c>
      <c r="B5" s="1133" t="s">
        <v>1711</v>
      </c>
      <c r="C5" s="1343" t="s">
        <v>1535</v>
      </c>
      <c r="D5" s="1343"/>
      <c r="E5" s="1343"/>
      <c r="F5" s="1343"/>
      <c r="G5" s="1343">
        <f>'36 ย5ก13 ช้อม1669'!F11</f>
        <v>22500</v>
      </c>
      <c r="H5" s="1343"/>
      <c r="I5" s="1343"/>
      <c r="J5" s="1343"/>
      <c r="K5" s="1343"/>
      <c r="L5" s="1343"/>
      <c r="M5" s="1344">
        <f t="shared" ref="M5:M10" si="0">SUM(F5:L5)</f>
        <v>22500</v>
      </c>
    </row>
    <row r="6" spans="1:18" s="406" customFormat="1" ht="43.5">
      <c r="A6" s="1159">
        <v>36</v>
      </c>
      <c r="B6" s="1133" t="s">
        <v>1713</v>
      </c>
      <c r="C6" s="1343" t="s">
        <v>1535</v>
      </c>
      <c r="D6" s="1134"/>
      <c r="E6" s="1134"/>
      <c r="F6" s="1134"/>
      <c r="G6" s="1134"/>
      <c r="H6" s="1134"/>
      <c r="I6" s="1134"/>
      <c r="J6" s="1134"/>
      <c r="K6" s="1134">
        <f>'37ย5ก13ช้อมEOC'!F20</f>
        <v>76000</v>
      </c>
      <c r="L6" s="1134"/>
      <c r="M6" s="1344">
        <f t="shared" si="0"/>
        <v>76000</v>
      </c>
    </row>
    <row r="7" spans="1:18" s="406" customFormat="1" ht="43.5">
      <c r="A7" s="1159">
        <v>37</v>
      </c>
      <c r="B7" s="1133" t="s">
        <v>1714</v>
      </c>
      <c r="C7" s="1343" t="s">
        <v>1535</v>
      </c>
      <c r="D7" s="1134"/>
      <c r="E7" s="1134"/>
      <c r="F7" s="1134">
        <f>'38ย5ก14คร.เข้มแข็ง-เสร็จ'!F55</f>
        <v>100250</v>
      </c>
      <c r="G7" s="1134"/>
      <c r="H7" s="1134"/>
      <c r="I7" s="1134"/>
      <c r="J7" s="1134"/>
      <c r="K7" s="1134"/>
      <c r="L7" s="1134"/>
      <c r="M7" s="1344">
        <f t="shared" si="0"/>
        <v>100250</v>
      </c>
    </row>
    <row r="8" spans="1:18" s="406" customFormat="1" ht="21" customHeight="1">
      <c r="A8" s="1159">
        <v>38</v>
      </c>
      <c r="B8" s="1133" t="s">
        <v>1719</v>
      </c>
      <c r="C8" s="1343" t="s">
        <v>1535</v>
      </c>
      <c r="D8" s="1134"/>
      <c r="E8" s="1134"/>
      <c r="F8" s="1134"/>
      <c r="G8" s="1134"/>
      <c r="H8" s="1134">
        <f>'39ย5ก14TB'!F29</f>
        <v>132700</v>
      </c>
      <c r="I8" s="1134"/>
      <c r="J8" s="1134"/>
      <c r="K8" s="1134"/>
      <c r="L8" s="1134"/>
      <c r="M8" s="1344">
        <f t="shared" si="0"/>
        <v>132700</v>
      </c>
    </row>
    <row r="9" spans="1:18" s="406" customFormat="1" ht="43.5">
      <c r="A9" s="1363">
        <v>39</v>
      </c>
      <c r="B9" s="1133" t="s">
        <v>1748</v>
      </c>
      <c r="C9" s="1343"/>
      <c r="D9" s="1343"/>
      <c r="E9" s="1134"/>
      <c r="F9" s="1134"/>
      <c r="G9" s="1134">
        <v>360000</v>
      </c>
      <c r="H9" s="1134"/>
      <c r="I9" s="1134"/>
      <c r="J9" s="1134">
        <v>60000</v>
      </c>
      <c r="K9" s="1134"/>
      <c r="L9" s="1134">
        <v>97500</v>
      </c>
      <c r="M9" s="1344">
        <f t="shared" si="0"/>
        <v>517500</v>
      </c>
    </row>
    <row r="10" spans="1:18" s="406" customFormat="1" ht="43.5">
      <c r="A10" s="1159">
        <v>40</v>
      </c>
      <c r="B10" s="1133" t="s">
        <v>1724</v>
      </c>
      <c r="C10" s="1343" t="s">
        <v>1535</v>
      </c>
      <c r="D10" s="1343"/>
      <c r="E10" s="1134"/>
      <c r="F10" s="1134"/>
      <c r="G10" s="1134"/>
      <c r="H10" s="1134">
        <f>'41ย5ก15สุขศึษารพ'!F8</f>
        <v>5250</v>
      </c>
      <c r="I10" s="1134"/>
      <c r="J10" s="1134"/>
      <c r="K10" s="1134"/>
      <c r="L10" s="1134"/>
      <c r="M10" s="1344">
        <f t="shared" si="0"/>
        <v>5250</v>
      </c>
    </row>
    <row r="11" spans="1:18">
      <c r="A11" s="1135"/>
      <c r="B11" s="1141" t="s">
        <v>4</v>
      </c>
      <c r="C11" s="1136"/>
      <c r="D11" s="1136"/>
      <c r="E11" s="1136"/>
      <c r="F11" s="1362">
        <f t="shared" ref="F11:M11" si="1">SUM(F4:F10)</f>
        <v>100250</v>
      </c>
      <c r="G11" s="1362">
        <f t="shared" si="1"/>
        <v>382500</v>
      </c>
      <c r="H11" s="1362">
        <f t="shared" si="1"/>
        <v>137950</v>
      </c>
      <c r="I11" s="1362">
        <f t="shared" si="1"/>
        <v>0</v>
      </c>
      <c r="J11" s="1362">
        <f t="shared" si="1"/>
        <v>60000</v>
      </c>
      <c r="K11" s="1362">
        <f t="shared" si="1"/>
        <v>76000</v>
      </c>
      <c r="L11" s="1362">
        <f t="shared" si="1"/>
        <v>97500</v>
      </c>
      <c r="M11" s="1362">
        <f t="shared" si="1"/>
        <v>854200</v>
      </c>
    </row>
    <row r="12" spans="1:18">
      <c r="B12" s="1423"/>
      <c r="C12" s="1423"/>
      <c r="D12" s="1423"/>
      <c r="E12" s="1423"/>
      <c r="F12" s="1423"/>
      <c r="G12" s="1423"/>
      <c r="H12" s="1423"/>
      <c r="I12" s="1423"/>
      <c r="J12" s="1423"/>
      <c r="K12" s="1423"/>
      <c r="L12" s="1423"/>
    </row>
    <row r="13" spans="1:18">
      <c r="B13" s="1423"/>
      <c r="C13" s="1423"/>
      <c r="D13" s="1423"/>
      <c r="E13" s="1423"/>
      <c r="F13" s="1423"/>
      <c r="G13" s="1423"/>
      <c r="H13" s="1423"/>
      <c r="I13" s="1423"/>
      <c r="J13" s="1423"/>
      <c r="K13" s="1423"/>
      <c r="L13" s="1423"/>
    </row>
  </sheetData>
  <mergeCells count="9">
    <mergeCell ref="B12:L12"/>
    <mergeCell ref="B13:L13"/>
    <mergeCell ref="A1:M1"/>
    <mergeCell ref="N1:R1"/>
    <mergeCell ref="A2:A3"/>
    <mergeCell ref="B2:B3"/>
    <mergeCell ref="C2:E2"/>
    <mergeCell ref="F2:L2"/>
    <mergeCell ref="M2:M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55"/>
  <sheetViews>
    <sheetView showWhiteSpace="0" view="pageLayout" topLeftCell="A24" zoomScale="70" zoomScaleNormal="100" zoomScalePageLayoutView="70" workbookViewId="0">
      <selection activeCell="N24" sqref="N24:N28"/>
    </sheetView>
  </sheetViews>
  <sheetFormatPr defaultRowHeight="18.75"/>
  <cols>
    <col min="1" max="1" width="12.875" style="1125" customWidth="1"/>
    <col min="2" max="4" width="11.375" style="1125" customWidth="1"/>
    <col min="5" max="5" width="23" style="1301" customWidth="1"/>
    <col min="6" max="6" width="9.625" style="1302" customWidth="1"/>
    <col min="7" max="7" width="3.375" style="1303" customWidth="1"/>
    <col min="8" max="8" width="6.625" style="1301" customWidth="1"/>
    <col min="9" max="10" width="2.875" style="1302" customWidth="1"/>
    <col min="11" max="11" width="2.875" style="1304" customWidth="1"/>
    <col min="12" max="12" width="2.875" style="1302" customWidth="1"/>
    <col min="13" max="13" width="2.875" style="1304" customWidth="1"/>
    <col min="14" max="16" width="2.875" style="1302" customWidth="1"/>
    <col min="17" max="17" width="2.875" style="1304" customWidth="1"/>
    <col min="18" max="18" width="2.875" style="1302" customWidth="1"/>
    <col min="19" max="19" width="2.875" style="1304" customWidth="1"/>
    <col min="20" max="20" width="2.875" style="1302" customWidth="1"/>
    <col min="21" max="21" width="6.75" style="1125" customWidth="1"/>
    <col min="22" max="246" width="9" style="1125"/>
    <col min="247" max="247" width="16.75" style="1125" customWidth="1"/>
    <col min="248" max="248" width="12.75" style="1125" customWidth="1"/>
    <col min="249" max="249" width="11.75" style="1125" customWidth="1"/>
    <col min="250" max="250" width="11.25" style="1125" customWidth="1"/>
    <col min="251" max="251" width="22.25" style="1125" customWidth="1"/>
    <col min="252" max="252" width="10.25" style="1125" customWidth="1"/>
    <col min="253" max="253" width="4.25" style="1125" customWidth="1"/>
    <col min="254" max="254" width="7.875" style="1125" customWidth="1"/>
    <col min="255" max="266" width="4" style="1125" customWidth="1"/>
    <col min="267" max="267" width="12.75" style="1125" customWidth="1"/>
    <col min="268" max="502" width="9" style="1125"/>
    <col min="503" max="503" width="16.75" style="1125" customWidth="1"/>
    <col min="504" max="504" width="12.75" style="1125" customWidth="1"/>
    <col min="505" max="505" width="11.75" style="1125" customWidth="1"/>
    <col min="506" max="506" width="11.25" style="1125" customWidth="1"/>
    <col min="507" max="507" width="22.25" style="1125" customWidth="1"/>
    <col min="508" max="508" width="10.25" style="1125" customWidth="1"/>
    <col min="509" max="509" width="4.25" style="1125" customWidth="1"/>
    <col min="510" max="510" width="7.875" style="1125" customWidth="1"/>
    <col min="511" max="522" width="4" style="1125" customWidth="1"/>
    <col min="523" max="523" width="12.75" style="1125" customWidth="1"/>
    <col min="524" max="758" width="9" style="1125"/>
    <col min="759" max="759" width="16.75" style="1125" customWidth="1"/>
    <col min="760" max="760" width="12.75" style="1125" customWidth="1"/>
    <col min="761" max="761" width="11.75" style="1125" customWidth="1"/>
    <col min="762" max="762" width="11.25" style="1125" customWidth="1"/>
    <col min="763" max="763" width="22.25" style="1125" customWidth="1"/>
    <col min="764" max="764" width="10.25" style="1125" customWidth="1"/>
    <col min="765" max="765" width="4.25" style="1125" customWidth="1"/>
    <col min="766" max="766" width="7.875" style="1125" customWidth="1"/>
    <col min="767" max="778" width="4" style="1125" customWidth="1"/>
    <col min="779" max="779" width="12.75" style="1125" customWidth="1"/>
    <col min="780" max="1014" width="9" style="1125"/>
    <col min="1015" max="1015" width="16.75" style="1125" customWidth="1"/>
    <col min="1016" max="1016" width="12.75" style="1125" customWidth="1"/>
    <col min="1017" max="1017" width="11.75" style="1125" customWidth="1"/>
    <col min="1018" max="1018" width="11.25" style="1125" customWidth="1"/>
    <col min="1019" max="1019" width="22.25" style="1125" customWidth="1"/>
    <col min="1020" max="1020" width="10.25" style="1125" customWidth="1"/>
    <col min="1021" max="1021" width="4.25" style="1125" customWidth="1"/>
    <col min="1022" max="1022" width="7.875" style="1125" customWidth="1"/>
    <col min="1023" max="1034" width="4" style="1125" customWidth="1"/>
    <col min="1035" max="1035" width="12.75" style="1125" customWidth="1"/>
    <col min="1036" max="1270" width="9" style="1125"/>
    <col min="1271" max="1271" width="16.75" style="1125" customWidth="1"/>
    <col min="1272" max="1272" width="12.75" style="1125" customWidth="1"/>
    <col min="1273" max="1273" width="11.75" style="1125" customWidth="1"/>
    <col min="1274" max="1274" width="11.25" style="1125" customWidth="1"/>
    <col min="1275" max="1275" width="22.25" style="1125" customWidth="1"/>
    <col min="1276" max="1276" width="10.25" style="1125" customWidth="1"/>
    <col min="1277" max="1277" width="4.25" style="1125" customWidth="1"/>
    <col min="1278" max="1278" width="7.875" style="1125" customWidth="1"/>
    <col min="1279" max="1290" width="4" style="1125" customWidth="1"/>
    <col min="1291" max="1291" width="12.75" style="1125" customWidth="1"/>
    <col min="1292" max="1526" width="9" style="1125"/>
    <col min="1527" max="1527" width="16.75" style="1125" customWidth="1"/>
    <col min="1528" max="1528" width="12.75" style="1125" customWidth="1"/>
    <col min="1529" max="1529" width="11.75" style="1125" customWidth="1"/>
    <col min="1530" max="1530" width="11.25" style="1125" customWidth="1"/>
    <col min="1531" max="1531" width="22.25" style="1125" customWidth="1"/>
    <col min="1532" max="1532" width="10.25" style="1125" customWidth="1"/>
    <col min="1533" max="1533" width="4.25" style="1125" customWidth="1"/>
    <col min="1534" max="1534" width="7.875" style="1125" customWidth="1"/>
    <col min="1535" max="1546" width="4" style="1125" customWidth="1"/>
    <col min="1547" max="1547" width="12.75" style="1125" customWidth="1"/>
    <col min="1548" max="1782" width="9" style="1125"/>
    <col min="1783" max="1783" width="16.75" style="1125" customWidth="1"/>
    <col min="1784" max="1784" width="12.75" style="1125" customWidth="1"/>
    <col min="1785" max="1785" width="11.75" style="1125" customWidth="1"/>
    <col min="1786" max="1786" width="11.25" style="1125" customWidth="1"/>
    <col min="1787" max="1787" width="22.25" style="1125" customWidth="1"/>
    <col min="1788" max="1788" width="10.25" style="1125" customWidth="1"/>
    <col min="1789" max="1789" width="4.25" style="1125" customWidth="1"/>
    <col min="1790" max="1790" width="7.875" style="1125" customWidth="1"/>
    <col min="1791" max="1802" width="4" style="1125" customWidth="1"/>
    <col min="1803" max="1803" width="12.75" style="1125" customWidth="1"/>
    <col min="1804" max="2038" width="9" style="1125"/>
    <col min="2039" max="2039" width="16.75" style="1125" customWidth="1"/>
    <col min="2040" max="2040" width="12.75" style="1125" customWidth="1"/>
    <col min="2041" max="2041" width="11.75" style="1125" customWidth="1"/>
    <col min="2042" max="2042" width="11.25" style="1125" customWidth="1"/>
    <col min="2043" max="2043" width="22.25" style="1125" customWidth="1"/>
    <col min="2044" max="2044" width="10.25" style="1125" customWidth="1"/>
    <col min="2045" max="2045" width="4.25" style="1125" customWidth="1"/>
    <col min="2046" max="2046" width="7.875" style="1125" customWidth="1"/>
    <col min="2047" max="2058" width="4" style="1125" customWidth="1"/>
    <col min="2059" max="2059" width="12.75" style="1125" customWidth="1"/>
    <col min="2060" max="2294" width="9" style="1125"/>
    <col min="2295" max="2295" width="16.75" style="1125" customWidth="1"/>
    <col min="2296" max="2296" width="12.75" style="1125" customWidth="1"/>
    <col min="2297" max="2297" width="11.75" style="1125" customWidth="1"/>
    <col min="2298" max="2298" width="11.25" style="1125" customWidth="1"/>
    <col min="2299" max="2299" width="22.25" style="1125" customWidth="1"/>
    <col min="2300" max="2300" width="10.25" style="1125" customWidth="1"/>
    <col min="2301" max="2301" width="4.25" style="1125" customWidth="1"/>
    <col min="2302" max="2302" width="7.875" style="1125" customWidth="1"/>
    <col min="2303" max="2314" width="4" style="1125" customWidth="1"/>
    <col min="2315" max="2315" width="12.75" style="1125" customWidth="1"/>
    <col min="2316" max="2550" width="9" style="1125"/>
    <col min="2551" max="2551" width="16.75" style="1125" customWidth="1"/>
    <col min="2552" max="2552" width="12.75" style="1125" customWidth="1"/>
    <col min="2553" max="2553" width="11.75" style="1125" customWidth="1"/>
    <col min="2554" max="2554" width="11.25" style="1125" customWidth="1"/>
    <col min="2555" max="2555" width="22.25" style="1125" customWidth="1"/>
    <col min="2556" max="2556" width="10.25" style="1125" customWidth="1"/>
    <col min="2557" max="2557" width="4.25" style="1125" customWidth="1"/>
    <col min="2558" max="2558" width="7.875" style="1125" customWidth="1"/>
    <col min="2559" max="2570" width="4" style="1125" customWidth="1"/>
    <col min="2571" max="2571" width="12.75" style="1125" customWidth="1"/>
    <col min="2572" max="2806" width="9" style="1125"/>
    <col min="2807" max="2807" width="16.75" style="1125" customWidth="1"/>
    <col min="2808" max="2808" width="12.75" style="1125" customWidth="1"/>
    <col min="2809" max="2809" width="11.75" style="1125" customWidth="1"/>
    <col min="2810" max="2810" width="11.25" style="1125" customWidth="1"/>
    <col min="2811" max="2811" width="22.25" style="1125" customWidth="1"/>
    <col min="2812" max="2812" width="10.25" style="1125" customWidth="1"/>
    <col min="2813" max="2813" width="4.25" style="1125" customWidth="1"/>
    <col min="2814" max="2814" width="7.875" style="1125" customWidth="1"/>
    <col min="2815" max="2826" width="4" style="1125" customWidth="1"/>
    <col min="2827" max="2827" width="12.75" style="1125" customWidth="1"/>
    <col min="2828" max="3062" width="9" style="1125"/>
    <col min="3063" max="3063" width="16.75" style="1125" customWidth="1"/>
    <col min="3064" max="3064" width="12.75" style="1125" customWidth="1"/>
    <col min="3065" max="3065" width="11.75" style="1125" customWidth="1"/>
    <col min="3066" max="3066" width="11.25" style="1125" customWidth="1"/>
    <col min="3067" max="3067" width="22.25" style="1125" customWidth="1"/>
    <col min="3068" max="3068" width="10.25" style="1125" customWidth="1"/>
    <col min="3069" max="3069" width="4.25" style="1125" customWidth="1"/>
    <col min="3070" max="3070" width="7.875" style="1125" customWidth="1"/>
    <col min="3071" max="3082" width="4" style="1125" customWidth="1"/>
    <col min="3083" max="3083" width="12.75" style="1125" customWidth="1"/>
    <col min="3084" max="3318" width="9" style="1125"/>
    <col min="3319" max="3319" width="16.75" style="1125" customWidth="1"/>
    <col min="3320" max="3320" width="12.75" style="1125" customWidth="1"/>
    <col min="3321" max="3321" width="11.75" style="1125" customWidth="1"/>
    <col min="3322" max="3322" width="11.25" style="1125" customWidth="1"/>
    <col min="3323" max="3323" width="22.25" style="1125" customWidth="1"/>
    <col min="3324" max="3324" width="10.25" style="1125" customWidth="1"/>
    <col min="3325" max="3325" width="4.25" style="1125" customWidth="1"/>
    <col min="3326" max="3326" width="7.875" style="1125" customWidth="1"/>
    <col min="3327" max="3338" width="4" style="1125" customWidth="1"/>
    <col min="3339" max="3339" width="12.75" style="1125" customWidth="1"/>
    <col min="3340" max="3574" width="9" style="1125"/>
    <col min="3575" max="3575" width="16.75" style="1125" customWidth="1"/>
    <col min="3576" max="3576" width="12.75" style="1125" customWidth="1"/>
    <col min="3577" max="3577" width="11.75" style="1125" customWidth="1"/>
    <col min="3578" max="3578" width="11.25" style="1125" customWidth="1"/>
    <col min="3579" max="3579" width="22.25" style="1125" customWidth="1"/>
    <col min="3580" max="3580" width="10.25" style="1125" customWidth="1"/>
    <col min="3581" max="3581" width="4.25" style="1125" customWidth="1"/>
    <col min="3582" max="3582" width="7.875" style="1125" customWidth="1"/>
    <col min="3583" max="3594" width="4" style="1125" customWidth="1"/>
    <col min="3595" max="3595" width="12.75" style="1125" customWidth="1"/>
    <col min="3596" max="3830" width="9" style="1125"/>
    <col min="3831" max="3831" width="16.75" style="1125" customWidth="1"/>
    <col min="3832" max="3832" width="12.75" style="1125" customWidth="1"/>
    <col min="3833" max="3833" width="11.75" style="1125" customWidth="1"/>
    <col min="3834" max="3834" width="11.25" style="1125" customWidth="1"/>
    <col min="3835" max="3835" width="22.25" style="1125" customWidth="1"/>
    <col min="3836" max="3836" width="10.25" style="1125" customWidth="1"/>
    <col min="3837" max="3837" width="4.25" style="1125" customWidth="1"/>
    <col min="3838" max="3838" width="7.875" style="1125" customWidth="1"/>
    <col min="3839" max="3850" width="4" style="1125" customWidth="1"/>
    <col min="3851" max="3851" width="12.75" style="1125" customWidth="1"/>
    <col min="3852" max="4086" width="9" style="1125"/>
    <col min="4087" max="4087" width="16.75" style="1125" customWidth="1"/>
    <col min="4088" max="4088" width="12.75" style="1125" customWidth="1"/>
    <col min="4089" max="4089" width="11.75" style="1125" customWidth="1"/>
    <col min="4090" max="4090" width="11.25" style="1125" customWidth="1"/>
    <col min="4091" max="4091" width="22.25" style="1125" customWidth="1"/>
    <col min="4092" max="4092" width="10.25" style="1125" customWidth="1"/>
    <col min="4093" max="4093" width="4.25" style="1125" customWidth="1"/>
    <col min="4094" max="4094" width="7.875" style="1125" customWidth="1"/>
    <col min="4095" max="4106" width="4" style="1125" customWidth="1"/>
    <col min="4107" max="4107" width="12.75" style="1125" customWidth="1"/>
    <col min="4108" max="4342" width="9" style="1125"/>
    <col min="4343" max="4343" width="16.75" style="1125" customWidth="1"/>
    <col min="4344" max="4344" width="12.75" style="1125" customWidth="1"/>
    <col min="4345" max="4345" width="11.75" style="1125" customWidth="1"/>
    <col min="4346" max="4346" width="11.25" style="1125" customWidth="1"/>
    <col min="4347" max="4347" width="22.25" style="1125" customWidth="1"/>
    <col min="4348" max="4348" width="10.25" style="1125" customWidth="1"/>
    <col min="4349" max="4349" width="4.25" style="1125" customWidth="1"/>
    <col min="4350" max="4350" width="7.875" style="1125" customWidth="1"/>
    <col min="4351" max="4362" width="4" style="1125" customWidth="1"/>
    <col min="4363" max="4363" width="12.75" style="1125" customWidth="1"/>
    <col min="4364" max="4598" width="9" style="1125"/>
    <col min="4599" max="4599" width="16.75" style="1125" customWidth="1"/>
    <col min="4600" max="4600" width="12.75" style="1125" customWidth="1"/>
    <col min="4601" max="4601" width="11.75" style="1125" customWidth="1"/>
    <col min="4602" max="4602" width="11.25" style="1125" customWidth="1"/>
    <col min="4603" max="4603" width="22.25" style="1125" customWidth="1"/>
    <col min="4604" max="4604" width="10.25" style="1125" customWidth="1"/>
    <col min="4605" max="4605" width="4.25" style="1125" customWidth="1"/>
    <col min="4606" max="4606" width="7.875" style="1125" customWidth="1"/>
    <col min="4607" max="4618" width="4" style="1125" customWidth="1"/>
    <col min="4619" max="4619" width="12.75" style="1125" customWidth="1"/>
    <col min="4620" max="4854" width="9" style="1125"/>
    <col min="4855" max="4855" width="16.75" style="1125" customWidth="1"/>
    <col min="4856" max="4856" width="12.75" style="1125" customWidth="1"/>
    <col min="4857" max="4857" width="11.75" style="1125" customWidth="1"/>
    <col min="4858" max="4858" width="11.25" style="1125" customWidth="1"/>
    <col min="4859" max="4859" width="22.25" style="1125" customWidth="1"/>
    <col min="4860" max="4860" width="10.25" style="1125" customWidth="1"/>
    <col min="4861" max="4861" width="4.25" style="1125" customWidth="1"/>
    <col min="4862" max="4862" width="7.875" style="1125" customWidth="1"/>
    <col min="4863" max="4874" width="4" style="1125" customWidth="1"/>
    <col min="4875" max="4875" width="12.75" style="1125" customWidth="1"/>
    <col min="4876" max="5110" width="9" style="1125"/>
    <col min="5111" max="5111" width="16.75" style="1125" customWidth="1"/>
    <col min="5112" max="5112" width="12.75" style="1125" customWidth="1"/>
    <col min="5113" max="5113" width="11.75" style="1125" customWidth="1"/>
    <col min="5114" max="5114" width="11.25" style="1125" customWidth="1"/>
    <col min="5115" max="5115" width="22.25" style="1125" customWidth="1"/>
    <col min="5116" max="5116" width="10.25" style="1125" customWidth="1"/>
    <col min="5117" max="5117" width="4.25" style="1125" customWidth="1"/>
    <col min="5118" max="5118" width="7.875" style="1125" customWidth="1"/>
    <col min="5119" max="5130" width="4" style="1125" customWidth="1"/>
    <col min="5131" max="5131" width="12.75" style="1125" customWidth="1"/>
    <col min="5132" max="5366" width="9" style="1125"/>
    <col min="5367" max="5367" width="16.75" style="1125" customWidth="1"/>
    <col min="5368" max="5368" width="12.75" style="1125" customWidth="1"/>
    <col min="5369" max="5369" width="11.75" style="1125" customWidth="1"/>
    <col min="5370" max="5370" width="11.25" style="1125" customWidth="1"/>
    <col min="5371" max="5371" width="22.25" style="1125" customWidth="1"/>
    <col min="5372" max="5372" width="10.25" style="1125" customWidth="1"/>
    <col min="5373" max="5373" width="4.25" style="1125" customWidth="1"/>
    <col min="5374" max="5374" width="7.875" style="1125" customWidth="1"/>
    <col min="5375" max="5386" width="4" style="1125" customWidth="1"/>
    <col min="5387" max="5387" width="12.75" style="1125" customWidth="1"/>
    <col min="5388" max="5622" width="9" style="1125"/>
    <col min="5623" max="5623" width="16.75" style="1125" customWidth="1"/>
    <col min="5624" max="5624" width="12.75" style="1125" customWidth="1"/>
    <col min="5625" max="5625" width="11.75" style="1125" customWidth="1"/>
    <col min="5626" max="5626" width="11.25" style="1125" customWidth="1"/>
    <col min="5627" max="5627" width="22.25" style="1125" customWidth="1"/>
    <col min="5628" max="5628" width="10.25" style="1125" customWidth="1"/>
    <col min="5629" max="5629" width="4.25" style="1125" customWidth="1"/>
    <col min="5630" max="5630" width="7.875" style="1125" customWidth="1"/>
    <col min="5631" max="5642" width="4" style="1125" customWidth="1"/>
    <col min="5643" max="5643" width="12.75" style="1125" customWidth="1"/>
    <col min="5644" max="5878" width="9" style="1125"/>
    <col min="5879" max="5879" width="16.75" style="1125" customWidth="1"/>
    <col min="5880" max="5880" width="12.75" style="1125" customWidth="1"/>
    <col min="5881" max="5881" width="11.75" style="1125" customWidth="1"/>
    <col min="5882" max="5882" width="11.25" style="1125" customWidth="1"/>
    <col min="5883" max="5883" width="22.25" style="1125" customWidth="1"/>
    <col min="5884" max="5884" width="10.25" style="1125" customWidth="1"/>
    <col min="5885" max="5885" width="4.25" style="1125" customWidth="1"/>
    <col min="5886" max="5886" width="7.875" style="1125" customWidth="1"/>
    <col min="5887" max="5898" width="4" style="1125" customWidth="1"/>
    <col min="5899" max="5899" width="12.75" style="1125" customWidth="1"/>
    <col min="5900" max="6134" width="9" style="1125"/>
    <col min="6135" max="6135" width="16.75" style="1125" customWidth="1"/>
    <col min="6136" max="6136" width="12.75" style="1125" customWidth="1"/>
    <col min="6137" max="6137" width="11.75" style="1125" customWidth="1"/>
    <col min="6138" max="6138" width="11.25" style="1125" customWidth="1"/>
    <col min="6139" max="6139" width="22.25" style="1125" customWidth="1"/>
    <col min="6140" max="6140" width="10.25" style="1125" customWidth="1"/>
    <col min="6141" max="6141" width="4.25" style="1125" customWidth="1"/>
    <col min="6142" max="6142" width="7.875" style="1125" customWidth="1"/>
    <col min="6143" max="6154" width="4" style="1125" customWidth="1"/>
    <col min="6155" max="6155" width="12.75" style="1125" customWidth="1"/>
    <col min="6156" max="6390" width="9" style="1125"/>
    <col min="6391" max="6391" width="16.75" style="1125" customWidth="1"/>
    <col min="6392" max="6392" width="12.75" style="1125" customWidth="1"/>
    <col min="6393" max="6393" width="11.75" style="1125" customWidth="1"/>
    <col min="6394" max="6394" width="11.25" style="1125" customWidth="1"/>
    <col min="6395" max="6395" width="22.25" style="1125" customWidth="1"/>
    <col min="6396" max="6396" width="10.25" style="1125" customWidth="1"/>
    <col min="6397" max="6397" width="4.25" style="1125" customWidth="1"/>
    <col min="6398" max="6398" width="7.875" style="1125" customWidth="1"/>
    <col min="6399" max="6410" width="4" style="1125" customWidth="1"/>
    <col min="6411" max="6411" width="12.75" style="1125" customWidth="1"/>
    <col min="6412" max="6646" width="9" style="1125"/>
    <col min="6647" max="6647" width="16.75" style="1125" customWidth="1"/>
    <col min="6648" max="6648" width="12.75" style="1125" customWidth="1"/>
    <col min="6649" max="6649" width="11.75" style="1125" customWidth="1"/>
    <col min="6650" max="6650" width="11.25" style="1125" customWidth="1"/>
    <col min="6651" max="6651" width="22.25" style="1125" customWidth="1"/>
    <col min="6652" max="6652" width="10.25" style="1125" customWidth="1"/>
    <col min="6653" max="6653" width="4.25" style="1125" customWidth="1"/>
    <col min="6654" max="6654" width="7.875" style="1125" customWidth="1"/>
    <col min="6655" max="6666" width="4" style="1125" customWidth="1"/>
    <col min="6667" max="6667" width="12.75" style="1125" customWidth="1"/>
    <col min="6668" max="6902" width="9" style="1125"/>
    <col min="6903" max="6903" width="16.75" style="1125" customWidth="1"/>
    <col min="6904" max="6904" width="12.75" style="1125" customWidth="1"/>
    <col min="6905" max="6905" width="11.75" style="1125" customWidth="1"/>
    <col min="6906" max="6906" width="11.25" style="1125" customWidth="1"/>
    <col min="6907" max="6907" width="22.25" style="1125" customWidth="1"/>
    <col min="6908" max="6908" width="10.25" style="1125" customWidth="1"/>
    <col min="6909" max="6909" width="4.25" style="1125" customWidth="1"/>
    <col min="6910" max="6910" width="7.875" style="1125" customWidth="1"/>
    <col min="6911" max="6922" width="4" style="1125" customWidth="1"/>
    <col min="6923" max="6923" width="12.75" style="1125" customWidth="1"/>
    <col min="6924" max="7158" width="9" style="1125"/>
    <col min="7159" max="7159" width="16.75" style="1125" customWidth="1"/>
    <col min="7160" max="7160" width="12.75" style="1125" customWidth="1"/>
    <col min="7161" max="7161" width="11.75" style="1125" customWidth="1"/>
    <col min="7162" max="7162" width="11.25" style="1125" customWidth="1"/>
    <col min="7163" max="7163" width="22.25" style="1125" customWidth="1"/>
    <col min="7164" max="7164" width="10.25" style="1125" customWidth="1"/>
    <col min="7165" max="7165" width="4.25" style="1125" customWidth="1"/>
    <col min="7166" max="7166" width="7.875" style="1125" customWidth="1"/>
    <col min="7167" max="7178" width="4" style="1125" customWidth="1"/>
    <col min="7179" max="7179" width="12.75" style="1125" customWidth="1"/>
    <col min="7180" max="7414" width="9" style="1125"/>
    <col min="7415" max="7415" width="16.75" style="1125" customWidth="1"/>
    <col min="7416" max="7416" width="12.75" style="1125" customWidth="1"/>
    <col min="7417" max="7417" width="11.75" style="1125" customWidth="1"/>
    <col min="7418" max="7418" width="11.25" style="1125" customWidth="1"/>
    <col min="7419" max="7419" width="22.25" style="1125" customWidth="1"/>
    <col min="7420" max="7420" width="10.25" style="1125" customWidth="1"/>
    <col min="7421" max="7421" width="4.25" style="1125" customWidth="1"/>
    <col min="7422" max="7422" width="7.875" style="1125" customWidth="1"/>
    <col min="7423" max="7434" width="4" style="1125" customWidth="1"/>
    <col min="7435" max="7435" width="12.75" style="1125" customWidth="1"/>
    <col min="7436" max="7670" width="9" style="1125"/>
    <col min="7671" max="7671" width="16.75" style="1125" customWidth="1"/>
    <col min="7672" max="7672" width="12.75" style="1125" customWidth="1"/>
    <col min="7673" max="7673" width="11.75" style="1125" customWidth="1"/>
    <col min="7674" max="7674" width="11.25" style="1125" customWidth="1"/>
    <col min="7675" max="7675" width="22.25" style="1125" customWidth="1"/>
    <col min="7676" max="7676" width="10.25" style="1125" customWidth="1"/>
    <col min="7677" max="7677" width="4.25" style="1125" customWidth="1"/>
    <col min="7678" max="7678" width="7.875" style="1125" customWidth="1"/>
    <col min="7679" max="7690" width="4" style="1125" customWidth="1"/>
    <col min="7691" max="7691" width="12.75" style="1125" customWidth="1"/>
    <col min="7692" max="7926" width="9" style="1125"/>
    <col min="7927" max="7927" width="16.75" style="1125" customWidth="1"/>
    <col min="7928" max="7928" width="12.75" style="1125" customWidth="1"/>
    <col min="7929" max="7929" width="11.75" style="1125" customWidth="1"/>
    <col min="7930" max="7930" width="11.25" style="1125" customWidth="1"/>
    <col min="7931" max="7931" width="22.25" style="1125" customWidth="1"/>
    <col min="7932" max="7932" width="10.25" style="1125" customWidth="1"/>
    <col min="7933" max="7933" width="4.25" style="1125" customWidth="1"/>
    <col min="7934" max="7934" width="7.875" style="1125" customWidth="1"/>
    <col min="7935" max="7946" width="4" style="1125" customWidth="1"/>
    <col min="7947" max="7947" width="12.75" style="1125" customWidth="1"/>
    <col min="7948" max="8182" width="9" style="1125"/>
    <col min="8183" max="8183" width="16.75" style="1125" customWidth="1"/>
    <col min="8184" max="8184" width="12.75" style="1125" customWidth="1"/>
    <col min="8185" max="8185" width="11.75" style="1125" customWidth="1"/>
    <col min="8186" max="8186" width="11.25" style="1125" customWidth="1"/>
    <col min="8187" max="8187" width="22.25" style="1125" customWidth="1"/>
    <col min="8188" max="8188" width="10.25" style="1125" customWidth="1"/>
    <col min="8189" max="8189" width="4.25" style="1125" customWidth="1"/>
    <col min="8190" max="8190" width="7.875" style="1125" customWidth="1"/>
    <col min="8191" max="8202" width="4" style="1125" customWidth="1"/>
    <col min="8203" max="8203" width="12.75" style="1125" customWidth="1"/>
    <col min="8204" max="8438" width="9" style="1125"/>
    <col min="8439" max="8439" width="16.75" style="1125" customWidth="1"/>
    <col min="8440" max="8440" width="12.75" style="1125" customWidth="1"/>
    <col min="8441" max="8441" width="11.75" style="1125" customWidth="1"/>
    <col min="8442" max="8442" width="11.25" style="1125" customWidth="1"/>
    <col min="8443" max="8443" width="22.25" style="1125" customWidth="1"/>
    <col min="8444" max="8444" width="10.25" style="1125" customWidth="1"/>
    <col min="8445" max="8445" width="4.25" style="1125" customWidth="1"/>
    <col min="8446" max="8446" width="7.875" style="1125" customWidth="1"/>
    <col min="8447" max="8458" width="4" style="1125" customWidth="1"/>
    <col min="8459" max="8459" width="12.75" style="1125" customWidth="1"/>
    <col min="8460" max="8694" width="9" style="1125"/>
    <col min="8695" max="8695" width="16.75" style="1125" customWidth="1"/>
    <col min="8696" max="8696" width="12.75" style="1125" customWidth="1"/>
    <col min="8697" max="8697" width="11.75" style="1125" customWidth="1"/>
    <col min="8698" max="8698" width="11.25" style="1125" customWidth="1"/>
    <col min="8699" max="8699" width="22.25" style="1125" customWidth="1"/>
    <col min="8700" max="8700" width="10.25" style="1125" customWidth="1"/>
    <col min="8701" max="8701" width="4.25" style="1125" customWidth="1"/>
    <col min="8702" max="8702" width="7.875" style="1125" customWidth="1"/>
    <col min="8703" max="8714" width="4" style="1125" customWidth="1"/>
    <col min="8715" max="8715" width="12.75" style="1125" customWidth="1"/>
    <col min="8716" max="8950" width="9" style="1125"/>
    <col min="8951" max="8951" width="16.75" style="1125" customWidth="1"/>
    <col min="8952" max="8952" width="12.75" style="1125" customWidth="1"/>
    <col min="8953" max="8953" width="11.75" style="1125" customWidth="1"/>
    <col min="8954" max="8954" width="11.25" style="1125" customWidth="1"/>
    <col min="8955" max="8955" width="22.25" style="1125" customWidth="1"/>
    <col min="8956" max="8956" width="10.25" style="1125" customWidth="1"/>
    <col min="8957" max="8957" width="4.25" style="1125" customWidth="1"/>
    <col min="8958" max="8958" width="7.875" style="1125" customWidth="1"/>
    <col min="8959" max="8970" width="4" style="1125" customWidth="1"/>
    <col min="8971" max="8971" width="12.75" style="1125" customWidth="1"/>
    <col min="8972" max="9206" width="9" style="1125"/>
    <col min="9207" max="9207" width="16.75" style="1125" customWidth="1"/>
    <col min="9208" max="9208" width="12.75" style="1125" customWidth="1"/>
    <col min="9209" max="9209" width="11.75" style="1125" customWidth="1"/>
    <col min="9210" max="9210" width="11.25" style="1125" customWidth="1"/>
    <col min="9211" max="9211" width="22.25" style="1125" customWidth="1"/>
    <col min="9212" max="9212" width="10.25" style="1125" customWidth="1"/>
    <col min="9213" max="9213" width="4.25" style="1125" customWidth="1"/>
    <col min="9214" max="9214" width="7.875" style="1125" customWidth="1"/>
    <col min="9215" max="9226" width="4" style="1125" customWidth="1"/>
    <col min="9227" max="9227" width="12.75" style="1125" customWidth="1"/>
    <col min="9228" max="9462" width="9" style="1125"/>
    <col min="9463" max="9463" width="16.75" style="1125" customWidth="1"/>
    <col min="9464" max="9464" width="12.75" style="1125" customWidth="1"/>
    <col min="9465" max="9465" width="11.75" style="1125" customWidth="1"/>
    <col min="9466" max="9466" width="11.25" style="1125" customWidth="1"/>
    <col min="9467" max="9467" width="22.25" style="1125" customWidth="1"/>
    <col min="9468" max="9468" width="10.25" style="1125" customWidth="1"/>
    <col min="9469" max="9469" width="4.25" style="1125" customWidth="1"/>
    <col min="9470" max="9470" width="7.875" style="1125" customWidth="1"/>
    <col min="9471" max="9482" width="4" style="1125" customWidth="1"/>
    <col min="9483" max="9483" width="12.75" style="1125" customWidth="1"/>
    <col min="9484" max="9718" width="9" style="1125"/>
    <col min="9719" max="9719" width="16.75" style="1125" customWidth="1"/>
    <col min="9720" max="9720" width="12.75" style="1125" customWidth="1"/>
    <col min="9721" max="9721" width="11.75" style="1125" customWidth="1"/>
    <col min="9722" max="9722" width="11.25" style="1125" customWidth="1"/>
    <col min="9723" max="9723" width="22.25" style="1125" customWidth="1"/>
    <col min="9724" max="9724" width="10.25" style="1125" customWidth="1"/>
    <col min="9725" max="9725" width="4.25" style="1125" customWidth="1"/>
    <col min="9726" max="9726" width="7.875" style="1125" customWidth="1"/>
    <col min="9727" max="9738" width="4" style="1125" customWidth="1"/>
    <col min="9739" max="9739" width="12.75" style="1125" customWidth="1"/>
    <col min="9740" max="9974" width="9" style="1125"/>
    <col min="9975" max="9975" width="16.75" style="1125" customWidth="1"/>
    <col min="9976" max="9976" width="12.75" style="1125" customWidth="1"/>
    <col min="9977" max="9977" width="11.75" style="1125" customWidth="1"/>
    <col min="9978" max="9978" width="11.25" style="1125" customWidth="1"/>
    <col min="9979" max="9979" width="22.25" style="1125" customWidth="1"/>
    <col min="9980" max="9980" width="10.25" style="1125" customWidth="1"/>
    <col min="9981" max="9981" width="4.25" style="1125" customWidth="1"/>
    <col min="9982" max="9982" width="7.875" style="1125" customWidth="1"/>
    <col min="9983" max="9994" width="4" style="1125" customWidth="1"/>
    <col min="9995" max="9995" width="12.75" style="1125" customWidth="1"/>
    <col min="9996" max="10230" width="9" style="1125"/>
    <col min="10231" max="10231" width="16.75" style="1125" customWidth="1"/>
    <col min="10232" max="10232" width="12.75" style="1125" customWidth="1"/>
    <col min="10233" max="10233" width="11.75" style="1125" customWidth="1"/>
    <col min="10234" max="10234" width="11.25" style="1125" customWidth="1"/>
    <col min="10235" max="10235" width="22.25" style="1125" customWidth="1"/>
    <col min="10236" max="10236" width="10.25" style="1125" customWidth="1"/>
    <col min="10237" max="10237" width="4.25" style="1125" customWidth="1"/>
    <col min="10238" max="10238" width="7.875" style="1125" customWidth="1"/>
    <col min="10239" max="10250" width="4" style="1125" customWidth="1"/>
    <col min="10251" max="10251" width="12.75" style="1125" customWidth="1"/>
    <col min="10252" max="10486" width="9" style="1125"/>
    <col min="10487" max="10487" width="16.75" style="1125" customWidth="1"/>
    <col min="10488" max="10488" width="12.75" style="1125" customWidth="1"/>
    <col min="10489" max="10489" width="11.75" style="1125" customWidth="1"/>
    <col min="10490" max="10490" width="11.25" style="1125" customWidth="1"/>
    <col min="10491" max="10491" width="22.25" style="1125" customWidth="1"/>
    <col min="10492" max="10492" width="10.25" style="1125" customWidth="1"/>
    <col min="10493" max="10493" width="4.25" style="1125" customWidth="1"/>
    <col min="10494" max="10494" width="7.875" style="1125" customWidth="1"/>
    <col min="10495" max="10506" width="4" style="1125" customWidth="1"/>
    <col min="10507" max="10507" width="12.75" style="1125" customWidth="1"/>
    <col min="10508" max="10742" width="9" style="1125"/>
    <col min="10743" max="10743" width="16.75" style="1125" customWidth="1"/>
    <col min="10744" max="10744" width="12.75" style="1125" customWidth="1"/>
    <col min="10745" max="10745" width="11.75" style="1125" customWidth="1"/>
    <col min="10746" max="10746" width="11.25" style="1125" customWidth="1"/>
    <col min="10747" max="10747" width="22.25" style="1125" customWidth="1"/>
    <col min="10748" max="10748" width="10.25" style="1125" customWidth="1"/>
    <col min="10749" max="10749" width="4.25" style="1125" customWidth="1"/>
    <col min="10750" max="10750" width="7.875" style="1125" customWidth="1"/>
    <col min="10751" max="10762" width="4" style="1125" customWidth="1"/>
    <col min="10763" max="10763" width="12.75" style="1125" customWidth="1"/>
    <col min="10764" max="10998" width="9" style="1125"/>
    <col min="10999" max="10999" width="16.75" style="1125" customWidth="1"/>
    <col min="11000" max="11000" width="12.75" style="1125" customWidth="1"/>
    <col min="11001" max="11001" width="11.75" style="1125" customWidth="1"/>
    <col min="11002" max="11002" width="11.25" style="1125" customWidth="1"/>
    <col min="11003" max="11003" width="22.25" style="1125" customWidth="1"/>
    <col min="11004" max="11004" width="10.25" style="1125" customWidth="1"/>
    <col min="11005" max="11005" width="4.25" style="1125" customWidth="1"/>
    <col min="11006" max="11006" width="7.875" style="1125" customWidth="1"/>
    <col min="11007" max="11018" width="4" style="1125" customWidth="1"/>
    <col min="11019" max="11019" width="12.75" style="1125" customWidth="1"/>
    <col min="11020" max="11254" width="9" style="1125"/>
    <col min="11255" max="11255" width="16.75" style="1125" customWidth="1"/>
    <col min="11256" max="11256" width="12.75" style="1125" customWidth="1"/>
    <col min="11257" max="11257" width="11.75" style="1125" customWidth="1"/>
    <col min="11258" max="11258" width="11.25" style="1125" customWidth="1"/>
    <col min="11259" max="11259" width="22.25" style="1125" customWidth="1"/>
    <col min="11260" max="11260" width="10.25" style="1125" customWidth="1"/>
    <col min="11261" max="11261" width="4.25" style="1125" customWidth="1"/>
    <col min="11262" max="11262" width="7.875" style="1125" customWidth="1"/>
    <col min="11263" max="11274" width="4" style="1125" customWidth="1"/>
    <col min="11275" max="11275" width="12.75" style="1125" customWidth="1"/>
    <col min="11276" max="11510" width="9" style="1125"/>
    <col min="11511" max="11511" width="16.75" style="1125" customWidth="1"/>
    <col min="11512" max="11512" width="12.75" style="1125" customWidth="1"/>
    <col min="11513" max="11513" width="11.75" style="1125" customWidth="1"/>
    <col min="11514" max="11514" width="11.25" style="1125" customWidth="1"/>
    <col min="11515" max="11515" width="22.25" style="1125" customWidth="1"/>
    <col min="11516" max="11516" width="10.25" style="1125" customWidth="1"/>
    <col min="11517" max="11517" width="4.25" style="1125" customWidth="1"/>
    <col min="11518" max="11518" width="7.875" style="1125" customWidth="1"/>
    <col min="11519" max="11530" width="4" style="1125" customWidth="1"/>
    <col min="11531" max="11531" width="12.75" style="1125" customWidth="1"/>
    <col min="11532" max="11766" width="9" style="1125"/>
    <col min="11767" max="11767" width="16.75" style="1125" customWidth="1"/>
    <col min="11768" max="11768" width="12.75" style="1125" customWidth="1"/>
    <col min="11769" max="11769" width="11.75" style="1125" customWidth="1"/>
    <col min="11770" max="11770" width="11.25" style="1125" customWidth="1"/>
    <col min="11771" max="11771" width="22.25" style="1125" customWidth="1"/>
    <col min="11772" max="11772" width="10.25" style="1125" customWidth="1"/>
    <col min="11773" max="11773" width="4.25" style="1125" customWidth="1"/>
    <col min="11774" max="11774" width="7.875" style="1125" customWidth="1"/>
    <col min="11775" max="11786" width="4" style="1125" customWidth="1"/>
    <col min="11787" max="11787" width="12.75" style="1125" customWidth="1"/>
    <col min="11788" max="12022" width="9" style="1125"/>
    <col min="12023" max="12023" width="16.75" style="1125" customWidth="1"/>
    <col min="12024" max="12024" width="12.75" style="1125" customWidth="1"/>
    <col min="12025" max="12025" width="11.75" style="1125" customWidth="1"/>
    <col min="12026" max="12026" width="11.25" style="1125" customWidth="1"/>
    <col min="12027" max="12027" width="22.25" style="1125" customWidth="1"/>
    <col min="12028" max="12028" width="10.25" style="1125" customWidth="1"/>
    <col min="12029" max="12029" width="4.25" style="1125" customWidth="1"/>
    <col min="12030" max="12030" width="7.875" style="1125" customWidth="1"/>
    <col min="12031" max="12042" width="4" style="1125" customWidth="1"/>
    <col min="12043" max="12043" width="12.75" style="1125" customWidth="1"/>
    <col min="12044" max="12278" width="9" style="1125"/>
    <col min="12279" max="12279" width="16.75" style="1125" customWidth="1"/>
    <col min="12280" max="12280" width="12.75" style="1125" customWidth="1"/>
    <col min="12281" max="12281" width="11.75" style="1125" customWidth="1"/>
    <col min="12282" max="12282" width="11.25" style="1125" customWidth="1"/>
    <col min="12283" max="12283" width="22.25" style="1125" customWidth="1"/>
    <col min="12284" max="12284" width="10.25" style="1125" customWidth="1"/>
    <col min="12285" max="12285" width="4.25" style="1125" customWidth="1"/>
    <col min="12286" max="12286" width="7.875" style="1125" customWidth="1"/>
    <col min="12287" max="12298" width="4" style="1125" customWidth="1"/>
    <col min="12299" max="12299" width="12.75" style="1125" customWidth="1"/>
    <col min="12300" max="12534" width="9" style="1125"/>
    <col min="12535" max="12535" width="16.75" style="1125" customWidth="1"/>
    <col min="12536" max="12536" width="12.75" style="1125" customWidth="1"/>
    <col min="12537" max="12537" width="11.75" style="1125" customWidth="1"/>
    <col min="12538" max="12538" width="11.25" style="1125" customWidth="1"/>
    <col min="12539" max="12539" width="22.25" style="1125" customWidth="1"/>
    <col min="12540" max="12540" width="10.25" style="1125" customWidth="1"/>
    <col min="12541" max="12541" width="4.25" style="1125" customWidth="1"/>
    <col min="12542" max="12542" width="7.875" style="1125" customWidth="1"/>
    <col min="12543" max="12554" width="4" style="1125" customWidth="1"/>
    <col min="12555" max="12555" width="12.75" style="1125" customWidth="1"/>
    <col min="12556" max="12790" width="9" style="1125"/>
    <col min="12791" max="12791" width="16.75" style="1125" customWidth="1"/>
    <col min="12792" max="12792" width="12.75" style="1125" customWidth="1"/>
    <col min="12793" max="12793" width="11.75" style="1125" customWidth="1"/>
    <col min="12794" max="12794" width="11.25" style="1125" customWidth="1"/>
    <col min="12795" max="12795" width="22.25" style="1125" customWidth="1"/>
    <col min="12796" max="12796" width="10.25" style="1125" customWidth="1"/>
    <col min="12797" max="12797" width="4.25" style="1125" customWidth="1"/>
    <col min="12798" max="12798" width="7.875" style="1125" customWidth="1"/>
    <col min="12799" max="12810" width="4" style="1125" customWidth="1"/>
    <col min="12811" max="12811" width="12.75" style="1125" customWidth="1"/>
    <col min="12812" max="13046" width="9" style="1125"/>
    <col min="13047" max="13047" width="16.75" style="1125" customWidth="1"/>
    <col min="13048" max="13048" width="12.75" style="1125" customWidth="1"/>
    <col min="13049" max="13049" width="11.75" style="1125" customWidth="1"/>
    <col min="13050" max="13050" width="11.25" style="1125" customWidth="1"/>
    <col min="13051" max="13051" width="22.25" style="1125" customWidth="1"/>
    <col min="13052" max="13052" width="10.25" style="1125" customWidth="1"/>
    <col min="13053" max="13053" width="4.25" style="1125" customWidth="1"/>
    <col min="13054" max="13054" width="7.875" style="1125" customWidth="1"/>
    <col min="13055" max="13066" width="4" style="1125" customWidth="1"/>
    <col min="13067" max="13067" width="12.75" style="1125" customWidth="1"/>
    <col min="13068" max="13302" width="9" style="1125"/>
    <col min="13303" max="13303" width="16.75" style="1125" customWidth="1"/>
    <col min="13304" max="13304" width="12.75" style="1125" customWidth="1"/>
    <col min="13305" max="13305" width="11.75" style="1125" customWidth="1"/>
    <col min="13306" max="13306" width="11.25" style="1125" customWidth="1"/>
    <col min="13307" max="13307" width="22.25" style="1125" customWidth="1"/>
    <col min="13308" max="13308" width="10.25" style="1125" customWidth="1"/>
    <col min="13309" max="13309" width="4.25" style="1125" customWidth="1"/>
    <col min="13310" max="13310" width="7.875" style="1125" customWidth="1"/>
    <col min="13311" max="13322" width="4" style="1125" customWidth="1"/>
    <col min="13323" max="13323" width="12.75" style="1125" customWidth="1"/>
    <col min="13324" max="13558" width="9" style="1125"/>
    <col min="13559" max="13559" width="16.75" style="1125" customWidth="1"/>
    <col min="13560" max="13560" width="12.75" style="1125" customWidth="1"/>
    <col min="13561" max="13561" width="11.75" style="1125" customWidth="1"/>
    <col min="13562" max="13562" width="11.25" style="1125" customWidth="1"/>
    <col min="13563" max="13563" width="22.25" style="1125" customWidth="1"/>
    <col min="13564" max="13564" width="10.25" style="1125" customWidth="1"/>
    <col min="13565" max="13565" width="4.25" style="1125" customWidth="1"/>
    <col min="13566" max="13566" width="7.875" style="1125" customWidth="1"/>
    <col min="13567" max="13578" width="4" style="1125" customWidth="1"/>
    <col min="13579" max="13579" width="12.75" style="1125" customWidth="1"/>
    <col min="13580" max="13814" width="9" style="1125"/>
    <col min="13815" max="13815" width="16.75" style="1125" customWidth="1"/>
    <col min="13816" max="13816" width="12.75" style="1125" customWidth="1"/>
    <col min="13817" max="13817" width="11.75" style="1125" customWidth="1"/>
    <col min="13818" max="13818" width="11.25" style="1125" customWidth="1"/>
    <col min="13819" max="13819" width="22.25" style="1125" customWidth="1"/>
    <col min="13820" max="13820" width="10.25" style="1125" customWidth="1"/>
    <col min="13821" max="13821" width="4.25" style="1125" customWidth="1"/>
    <col min="13822" max="13822" width="7.875" style="1125" customWidth="1"/>
    <col min="13823" max="13834" width="4" style="1125" customWidth="1"/>
    <col min="13835" max="13835" width="12.75" style="1125" customWidth="1"/>
    <col min="13836" max="14070" width="9" style="1125"/>
    <col min="14071" max="14071" width="16.75" style="1125" customWidth="1"/>
    <col min="14072" max="14072" width="12.75" style="1125" customWidth="1"/>
    <col min="14073" max="14073" width="11.75" style="1125" customWidth="1"/>
    <col min="14074" max="14074" width="11.25" style="1125" customWidth="1"/>
    <col min="14075" max="14075" width="22.25" style="1125" customWidth="1"/>
    <col min="14076" max="14076" width="10.25" style="1125" customWidth="1"/>
    <col min="14077" max="14077" width="4.25" style="1125" customWidth="1"/>
    <col min="14078" max="14078" width="7.875" style="1125" customWidth="1"/>
    <col min="14079" max="14090" width="4" style="1125" customWidth="1"/>
    <col min="14091" max="14091" width="12.75" style="1125" customWidth="1"/>
    <col min="14092" max="14326" width="9" style="1125"/>
    <col min="14327" max="14327" width="16.75" style="1125" customWidth="1"/>
    <col min="14328" max="14328" width="12.75" style="1125" customWidth="1"/>
    <col min="14329" max="14329" width="11.75" style="1125" customWidth="1"/>
    <col min="14330" max="14330" width="11.25" style="1125" customWidth="1"/>
    <col min="14331" max="14331" width="22.25" style="1125" customWidth="1"/>
    <col min="14332" max="14332" width="10.25" style="1125" customWidth="1"/>
    <col min="14333" max="14333" width="4.25" style="1125" customWidth="1"/>
    <col min="14334" max="14334" width="7.875" style="1125" customWidth="1"/>
    <col min="14335" max="14346" width="4" style="1125" customWidth="1"/>
    <col min="14347" max="14347" width="12.75" style="1125" customWidth="1"/>
    <col min="14348" max="14582" width="9" style="1125"/>
    <col min="14583" max="14583" width="16.75" style="1125" customWidth="1"/>
    <col min="14584" max="14584" width="12.75" style="1125" customWidth="1"/>
    <col min="14585" max="14585" width="11.75" style="1125" customWidth="1"/>
    <col min="14586" max="14586" width="11.25" style="1125" customWidth="1"/>
    <col min="14587" max="14587" width="22.25" style="1125" customWidth="1"/>
    <col min="14588" max="14588" width="10.25" style="1125" customWidth="1"/>
    <col min="14589" max="14589" width="4.25" style="1125" customWidth="1"/>
    <col min="14590" max="14590" width="7.875" style="1125" customWidth="1"/>
    <col min="14591" max="14602" width="4" style="1125" customWidth="1"/>
    <col min="14603" max="14603" width="12.75" style="1125" customWidth="1"/>
    <col min="14604" max="14838" width="9" style="1125"/>
    <col min="14839" max="14839" width="16.75" style="1125" customWidth="1"/>
    <col min="14840" max="14840" width="12.75" style="1125" customWidth="1"/>
    <col min="14841" max="14841" width="11.75" style="1125" customWidth="1"/>
    <col min="14842" max="14842" width="11.25" style="1125" customWidth="1"/>
    <col min="14843" max="14843" width="22.25" style="1125" customWidth="1"/>
    <col min="14844" max="14844" width="10.25" style="1125" customWidth="1"/>
    <col min="14845" max="14845" width="4.25" style="1125" customWidth="1"/>
    <col min="14846" max="14846" width="7.875" style="1125" customWidth="1"/>
    <col min="14847" max="14858" width="4" style="1125" customWidth="1"/>
    <col min="14859" max="14859" width="12.75" style="1125" customWidth="1"/>
    <col min="14860" max="15094" width="9" style="1125"/>
    <col min="15095" max="15095" width="16.75" style="1125" customWidth="1"/>
    <col min="15096" max="15096" width="12.75" style="1125" customWidth="1"/>
    <col min="15097" max="15097" width="11.75" style="1125" customWidth="1"/>
    <col min="15098" max="15098" width="11.25" style="1125" customWidth="1"/>
    <col min="15099" max="15099" width="22.25" style="1125" customWidth="1"/>
    <col min="15100" max="15100" width="10.25" style="1125" customWidth="1"/>
    <col min="15101" max="15101" width="4.25" style="1125" customWidth="1"/>
    <col min="15102" max="15102" width="7.875" style="1125" customWidth="1"/>
    <col min="15103" max="15114" width="4" style="1125" customWidth="1"/>
    <col min="15115" max="15115" width="12.75" style="1125" customWidth="1"/>
    <col min="15116" max="15350" width="9" style="1125"/>
    <col min="15351" max="15351" width="16.75" style="1125" customWidth="1"/>
    <col min="15352" max="15352" width="12.75" style="1125" customWidth="1"/>
    <col min="15353" max="15353" width="11.75" style="1125" customWidth="1"/>
    <col min="15354" max="15354" width="11.25" style="1125" customWidth="1"/>
    <col min="15355" max="15355" width="22.25" style="1125" customWidth="1"/>
    <col min="15356" max="15356" width="10.25" style="1125" customWidth="1"/>
    <col min="15357" max="15357" width="4.25" style="1125" customWidth="1"/>
    <col min="15358" max="15358" width="7.875" style="1125" customWidth="1"/>
    <col min="15359" max="15370" width="4" style="1125" customWidth="1"/>
    <col min="15371" max="15371" width="12.75" style="1125" customWidth="1"/>
    <col min="15372" max="15606" width="9" style="1125"/>
    <col min="15607" max="15607" width="16.75" style="1125" customWidth="1"/>
    <col min="15608" max="15608" width="12.75" style="1125" customWidth="1"/>
    <col min="15609" max="15609" width="11.75" style="1125" customWidth="1"/>
    <col min="15610" max="15610" width="11.25" style="1125" customWidth="1"/>
    <col min="15611" max="15611" width="22.25" style="1125" customWidth="1"/>
    <col min="15612" max="15612" width="10.25" style="1125" customWidth="1"/>
    <col min="15613" max="15613" width="4.25" style="1125" customWidth="1"/>
    <col min="15614" max="15614" width="7.875" style="1125" customWidth="1"/>
    <col min="15615" max="15626" width="4" style="1125" customWidth="1"/>
    <col min="15627" max="15627" width="12.75" style="1125" customWidth="1"/>
    <col min="15628" max="15862" width="9" style="1125"/>
    <col min="15863" max="15863" width="16.75" style="1125" customWidth="1"/>
    <col min="15864" max="15864" width="12.75" style="1125" customWidth="1"/>
    <col min="15865" max="15865" width="11.75" style="1125" customWidth="1"/>
    <col min="15866" max="15866" width="11.25" style="1125" customWidth="1"/>
    <col min="15867" max="15867" width="22.25" style="1125" customWidth="1"/>
    <col min="15868" max="15868" width="10.25" style="1125" customWidth="1"/>
    <col min="15869" max="15869" width="4.25" style="1125" customWidth="1"/>
    <col min="15870" max="15870" width="7.875" style="1125" customWidth="1"/>
    <col min="15871" max="15882" width="4" style="1125" customWidth="1"/>
    <col min="15883" max="15883" width="12.75" style="1125" customWidth="1"/>
    <col min="15884" max="16118" width="9" style="1125"/>
    <col min="16119" max="16119" width="16.75" style="1125" customWidth="1"/>
    <col min="16120" max="16120" width="12.75" style="1125" customWidth="1"/>
    <col min="16121" max="16121" width="11.75" style="1125" customWidth="1"/>
    <col min="16122" max="16122" width="11.25" style="1125" customWidth="1"/>
    <col min="16123" max="16123" width="22.25" style="1125" customWidth="1"/>
    <col min="16124" max="16124" width="10.25" style="1125" customWidth="1"/>
    <col min="16125" max="16125" width="4.25" style="1125" customWidth="1"/>
    <col min="16126" max="16126" width="7.875" style="1125" customWidth="1"/>
    <col min="16127" max="16138" width="4" style="1125" customWidth="1"/>
    <col min="16139" max="16139" width="12.75" style="1125" customWidth="1"/>
    <col min="16140" max="16374" width="9" style="1125"/>
    <col min="16375" max="16384" width="9" style="1125" customWidth="1"/>
  </cols>
  <sheetData>
    <row r="1" spans="1:256" s="1131" customFormat="1">
      <c r="A1" s="2139" t="s">
        <v>1553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L1" s="2139"/>
      <c r="M1" s="2139"/>
      <c r="N1" s="2139"/>
      <c r="O1" s="2139"/>
      <c r="P1" s="2139"/>
      <c r="Q1" s="2139"/>
      <c r="R1" s="2139"/>
      <c r="S1" s="2139"/>
      <c r="T1" s="2139"/>
      <c r="U1" s="2139"/>
    </row>
    <row r="2" spans="1:256" s="32" customFormat="1" ht="20.25">
      <c r="A2" s="2140" t="s">
        <v>1591</v>
      </c>
      <c r="B2" s="2140"/>
      <c r="C2" s="2140"/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0"/>
      <c r="Q2" s="2140"/>
      <c r="R2" s="2140"/>
      <c r="S2" s="2140"/>
      <c r="T2" s="2140"/>
      <c r="U2" s="2140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1124"/>
      <c r="AM2" s="1124"/>
      <c r="AN2" s="1124"/>
      <c r="AO2" s="1124"/>
      <c r="AP2" s="1124"/>
      <c r="AQ2" s="1124"/>
      <c r="AR2" s="1124"/>
      <c r="AS2" s="1124"/>
      <c r="AT2" s="1124"/>
      <c r="AU2" s="1124"/>
      <c r="AV2" s="1124"/>
      <c r="AW2" s="1124"/>
      <c r="AX2" s="1124"/>
      <c r="AY2" s="1124"/>
      <c r="AZ2" s="1124"/>
      <c r="BA2" s="1124"/>
      <c r="BB2" s="1124"/>
      <c r="BC2" s="1124"/>
      <c r="BD2" s="1124"/>
      <c r="BE2" s="1124"/>
      <c r="BF2" s="1124"/>
      <c r="BG2" s="1124"/>
      <c r="BH2" s="1124"/>
      <c r="BI2" s="1124"/>
      <c r="BJ2" s="1124"/>
      <c r="BK2" s="1124"/>
      <c r="BL2" s="1124"/>
      <c r="BM2" s="1124"/>
      <c r="BN2" s="1124"/>
      <c r="BO2" s="1124"/>
      <c r="BP2" s="1124"/>
      <c r="BQ2" s="1124"/>
      <c r="BR2" s="1124"/>
      <c r="BS2" s="1124"/>
      <c r="BT2" s="1124"/>
      <c r="BU2" s="1124"/>
      <c r="BV2" s="1124"/>
      <c r="BW2" s="1124"/>
      <c r="BX2" s="1124"/>
      <c r="BY2" s="1124"/>
      <c r="BZ2" s="1124"/>
      <c r="CA2" s="1124"/>
      <c r="CB2" s="1124"/>
      <c r="CC2" s="1124"/>
      <c r="CD2" s="1124"/>
      <c r="CE2" s="1124"/>
      <c r="CF2" s="1124"/>
      <c r="CG2" s="1124"/>
      <c r="CH2" s="1124"/>
      <c r="CI2" s="1124"/>
      <c r="CJ2" s="1124"/>
      <c r="CK2" s="1124"/>
      <c r="CL2" s="1124"/>
      <c r="CM2" s="1124"/>
      <c r="CN2" s="1124"/>
      <c r="CO2" s="1124"/>
      <c r="CP2" s="1124"/>
      <c r="CQ2" s="1124"/>
      <c r="CR2" s="1124"/>
      <c r="CS2" s="1124"/>
      <c r="CT2" s="1124"/>
      <c r="CU2" s="1124"/>
      <c r="CV2" s="1124"/>
      <c r="CW2" s="1124"/>
      <c r="CX2" s="1124"/>
      <c r="CY2" s="1124"/>
      <c r="CZ2" s="1124"/>
      <c r="DA2" s="1124"/>
      <c r="DB2" s="1124"/>
      <c r="DC2" s="1124"/>
      <c r="DD2" s="1124"/>
      <c r="DE2" s="1124"/>
      <c r="DF2" s="1124"/>
      <c r="DG2" s="1124"/>
      <c r="DH2" s="1124"/>
      <c r="DI2" s="1124"/>
      <c r="DJ2" s="1124"/>
      <c r="DK2" s="1124"/>
      <c r="DL2" s="1124"/>
      <c r="DM2" s="1124"/>
      <c r="DN2" s="1124"/>
      <c r="DO2" s="1124"/>
      <c r="DP2" s="1124"/>
      <c r="DQ2" s="1124"/>
      <c r="DR2" s="1124"/>
      <c r="DS2" s="1124"/>
      <c r="DT2" s="1124"/>
      <c r="DU2" s="1124"/>
      <c r="DV2" s="1124"/>
      <c r="DW2" s="1124"/>
      <c r="DX2" s="1124"/>
      <c r="DY2" s="1124"/>
      <c r="DZ2" s="1124"/>
      <c r="EA2" s="1124"/>
      <c r="EB2" s="1124"/>
      <c r="EC2" s="1124"/>
      <c r="ED2" s="1124"/>
      <c r="EE2" s="1124"/>
      <c r="EF2" s="1124"/>
      <c r="EG2" s="1124"/>
      <c r="EH2" s="1124"/>
      <c r="EI2" s="1124"/>
      <c r="EJ2" s="1124"/>
      <c r="EK2" s="1124"/>
      <c r="EL2" s="1124"/>
      <c r="EM2" s="1124"/>
      <c r="EN2" s="1124"/>
      <c r="EO2" s="1124"/>
      <c r="EP2" s="1124"/>
      <c r="EQ2" s="1124"/>
      <c r="ER2" s="1124"/>
      <c r="ES2" s="1124"/>
      <c r="ET2" s="1124"/>
      <c r="EU2" s="1124"/>
      <c r="EV2" s="1124"/>
      <c r="EW2" s="1124"/>
      <c r="EX2" s="1124"/>
      <c r="EY2" s="1124"/>
      <c r="EZ2" s="1124"/>
      <c r="FA2" s="1124"/>
      <c r="FB2" s="1124"/>
      <c r="FC2" s="1124"/>
      <c r="FD2" s="1124"/>
      <c r="FE2" s="1124"/>
      <c r="FF2" s="1124"/>
      <c r="FG2" s="1124"/>
      <c r="FH2" s="1124"/>
      <c r="FI2" s="1124"/>
      <c r="FJ2" s="1124"/>
      <c r="FK2" s="1124"/>
      <c r="FL2" s="1124"/>
      <c r="FM2" s="1124"/>
      <c r="FN2" s="1124"/>
      <c r="FO2" s="1124"/>
      <c r="FP2" s="1124"/>
      <c r="FQ2" s="1124"/>
      <c r="FR2" s="1124"/>
      <c r="FS2" s="1124"/>
      <c r="FT2" s="1124"/>
      <c r="FU2" s="1124"/>
      <c r="FV2" s="1124"/>
      <c r="FW2" s="1124"/>
      <c r="FX2" s="1124"/>
      <c r="FY2" s="1124"/>
      <c r="FZ2" s="1124"/>
      <c r="GA2" s="1124"/>
      <c r="GB2" s="1124"/>
      <c r="GC2" s="1124"/>
      <c r="GD2" s="1124"/>
      <c r="GE2" s="1124"/>
      <c r="GF2" s="1124"/>
      <c r="GG2" s="1124"/>
      <c r="GH2" s="1124"/>
      <c r="GI2" s="1124"/>
      <c r="GJ2" s="1124"/>
      <c r="GK2" s="1124"/>
      <c r="GL2" s="1124"/>
      <c r="GM2" s="1124"/>
      <c r="GN2" s="1124"/>
      <c r="GO2" s="1124"/>
      <c r="GP2" s="1124"/>
      <c r="GQ2" s="1124"/>
      <c r="GR2" s="1124"/>
      <c r="GS2" s="1124"/>
      <c r="GT2" s="1124"/>
      <c r="GU2" s="1124"/>
      <c r="GV2" s="1124"/>
      <c r="GW2" s="1124"/>
      <c r="GX2" s="1124"/>
      <c r="GY2" s="1124"/>
      <c r="GZ2" s="1124"/>
      <c r="HA2" s="1124"/>
      <c r="HB2" s="1124"/>
      <c r="HC2" s="1124"/>
      <c r="HD2" s="1124"/>
      <c r="HE2" s="1124"/>
      <c r="HF2" s="1124"/>
      <c r="HG2" s="1124"/>
      <c r="HH2" s="1124"/>
      <c r="HI2" s="1124"/>
      <c r="HJ2" s="1124"/>
      <c r="HK2" s="1124"/>
      <c r="HL2" s="1124"/>
      <c r="HM2" s="1124"/>
      <c r="HN2" s="1124"/>
      <c r="HO2" s="1124"/>
      <c r="HP2" s="1124"/>
      <c r="HQ2" s="1124"/>
      <c r="HR2" s="1124"/>
      <c r="HS2" s="1124"/>
      <c r="HT2" s="1124"/>
      <c r="HU2" s="1124"/>
      <c r="HV2" s="1124"/>
      <c r="HW2" s="1124"/>
      <c r="HX2" s="1124"/>
      <c r="HY2" s="1124"/>
      <c r="HZ2" s="1124"/>
      <c r="IA2" s="1124"/>
      <c r="IB2" s="1124"/>
      <c r="IC2" s="1124"/>
      <c r="ID2" s="1124"/>
      <c r="IE2" s="1124"/>
      <c r="IF2" s="1124"/>
      <c r="IG2" s="1124"/>
      <c r="IH2" s="1124"/>
      <c r="II2" s="1124"/>
      <c r="IJ2" s="1124"/>
      <c r="IK2" s="1124"/>
      <c r="IL2" s="1124"/>
      <c r="IM2" s="1124"/>
      <c r="IN2" s="1124"/>
      <c r="IO2" s="1124"/>
      <c r="IP2" s="1124"/>
      <c r="IQ2" s="1124"/>
      <c r="IR2" s="1124"/>
      <c r="IS2" s="1124"/>
      <c r="IT2" s="1124"/>
      <c r="IU2" s="1124"/>
      <c r="IV2" s="1124"/>
    </row>
    <row r="3" spans="1:256" s="32" customFormat="1" ht="20.25">
      <c r="A3" s="2141" t="s">
        <v>1592</v>
      </c>
      <c r="B3" s="2141"/>
      <c r="C3" s="2141"/>
      <c r="D3" s="2141"/>
      <c r="E3" s="2141"/>
      <c r="F3" s="2141"/>
      <c r="G3" s="2141"/>
      <c r="H3" s="2141"/>
      <c r="I3" s="2141"/>
      <c r="J3" s="2141"/>
      <c r="K3" s="2141"/>
      <c r="L3" s="2141"/>
      <c r="M3" s="2141"/>
      <c r="N3" s="2141"/>
      <c r="O3" s="2141"/>
      <c r="P3" s="2141"/>
      <c r="Q3" s="2141"/>
      <c r="R3" s="2141"/>
      <c r="S3" s="2141"/>
      <c r="T3" s="2141"/>
      <c r="U3" s="2141"/>
      <c r="V3" s="1124"/>
      <c r="W3" s="1124"/>
      <c r="X3" s="1124"/>
      <c r="Y3" s="1124"/>
      <c r="Z3" s="1124"/>
      <c r="AA3" s="1124"/>
      <c r="AB3" s="1124"/>
      <c r="AC3" s="1124"/>
      <c r="AD3" s="1124"/>
      <c r="AE3" s="1124"/>
      <c r="AF3" s="1124"/>
      <c r="AG3" s="1124"/>
      <c r="AH3" s="1124"/>
      <c r="AI3" s="1124"/>
      <c r="AJ3" s="1124"/>
      <c r="AK3" s="1124"/>
      <c r="AL3" s="1124"/>
      <c r="AM3" s="1124"/>
      <c r="AN3" s="1124"/>
      <c r="AO3" s="1124"/>
      <c r="AP3" s="1124"/>
      <c r="AQ3" s="1124"/>
      <c r="AR3" s="1124"/>
      <c r="AS3" s="1124"/>
      <c r="AT3" s="1124"/>
      <c r="AU3" s="1124"/>
      <c r="AV3" s="1124"/>
      <c r="AW3" s="1124"/>
      <c r="AX3" s="1124"/>
      <c r="AY3" s="1124"/>
      <c r="AZ3" s="1124"/>
      <c r="BA3" s="1124"/>
      <c r="BB3" s="1124"/>
      <c r="BC3" s="1124"/>
      <c r="BD3" s="1124"/>
      <c r="BE3" s="1124"/>
      <c r="BF3" s="1124"/>
      <c r="BG3" s="1124"/>
      <c r="BH3" s="1124"/>
      <c r="BI3" s="1124"/>
      <c r="BJ3" s="1124"/>
      <c r="BK3" s="1124"/>
      <c r="BL3" s="1124"/>
      <c r="BM3" s="1124"/>
      <c r="BN3" s="1124"/>
      <c r="BO3" s="1124"/>
      <c r="BP3" s="1124"/>
      <c r="BQ3" s="1124"/>
      <c r="BR3" s="1124"/>
      <c r="BS3" s="1124"/>
      <c r="BT3" s="1124"/>
      <c r="BU3" s="1124"/>
      <c r="BV3" s="1124"/>
      <c r="BW3" s="1124"/>
      <c r="BX3" s="1124"/>
      <c r="BY3" s="1124"/>
      <c r="BZ3" s="1124"/>
      <c r="CA3" s="1124"/>
      <c r="CB3" s="1124"/>
      <c r="CC3" s="1124"/>
      <c r="CD3" s="1124"/>
      <c r="CE3" s="1124"/>
      <c r="CF3" s="1124"/>
      <c r="CG3" s="1124"/>
      <c r="CH3" s="1124"/>
      <c r="CI3" s="1124"/>
      <c r="CJ3" s="1124"/>
      <c r="CK3" s="1124"/>
      <c r="CL3" s="1124"/>
      <c r="CM3" s="1124"/>
      <c r="CN3" s="1124"/>
      <c r="CO3" s="1124"/>
      <c r="CP3" s="1124"/>
      <c r="CQ3" s="1124"/>
      <c r="CR3" s="1124"/>
      <c r="CS3" s="1124"/>
      <c r="CT3" s="1124"/>
      <c r="CU3" s="1124"/>
      <c r="CV3" s="1124"/>
      <c r="CW3" s="1124"/>
      <c r="CX3" s="1124"/>
      <c r="CY3" s="1124"/>
      <c r="CZ3" s="1124"/>
      <c r="DA3" s="1124"/>
      <c r="DB3" s="1124"/>
      <c r="DC3" s="1124"/>
      <c r="DD3" s="1124"/>
      <c r="DE3" s="1124"/>
      <c r="DF3" s="1124"/>
      <c r="DG3" s="1124"/>
      <c r="DH3" s="1124"/>
      <c r="DI3" s="1124"/>
      <c r="DJ3" s="1124"/>
      <c r="DK3" s="1124"/>
      <c r="DL3" s="1124"/>
      <c r="DM3" s="1124"/>
      <c r="DN3" s="1124"/>
      <c r="DO3" s="1124"/>
      <c r="DP3" s="1124"/>
      <c r="DQ3" s="1124"/>
      <c r="DR3" s="1124"/>
      <c r="DS3" s="1124"/>
      <c r="DT3" s="1124"/>
      <c r="DU3" s="1124"/>
      <c r="DV3" s="1124"/>
      <c r="DW3" s="1124"/>
      <c r="DX3" s="1124"/>
      <c r="DY3" s="1124"/>
      <c r="DZ3" s="1124"/>
      <c r="EA3" s="1124"/>
      <c r="EB3" s="1124"/>
      <c r="EC3" s="1124"/>
      <c r="ED3" s="1124"/>
      <c r="EE3" s="1124"/>
      <c r="EF3" s="1124"/>
      <c r="EG3" s="1124"/>
      <c r="EH3" s="1124"/>
      <c r="EI3" s="1124"/>
      <c r="EJ3" s="1124"/>
      <c r="EK3" s="1124"/>
      <c r="EL3" s="1124"/>
      <c r="EM3" s="1124"/>
      <c r="EN3" s="1124"/>
      <c r="EO3" s="1124"/>
      <c r="EP3" s="1124"/>
      <c r="EQ3" s="1124"/>
      <c r="ER3" s="1124"/>
      <c r="ES3" s="1124"/>
      <c r="ET3" s="1124"/>
      <c r="EU3" s="1124"/>
      <c r="EV3" s="1124"/>
      <c r="EW3" s="1124"/>
      <c r="EX3" s="1124"/>
      <c r="EY3" s="1124"/>
      <c r="EZ3" s="1124"/>
      <c r="FA3" s="1124"/>
      <c r="FB3" s="1124"/>
      <c r="FC3" s="1124"/>
      <c r="FD3" s="1124"/>
      <c r="FE3" s="1124"/>
      <c r="FF3" s="1124"/>
      <c r="FG3" s="1124"/>
      <c r="FH3" s="1124"/>
      <c r="FI3" s="1124"/>
      <c r="FJ3" s="1124"/>
      <c r="FK3" s="1124"/>
      <c r="FL3" s="1124"/>
      <c r="FM3" s="1124"/>
      <c r="FN3" s="1124"/>
      <c r="FO3" s="1124"/>
      <c r="FP3" s="1124"/>
      <c r="FQ3" s="1124"/>
      <c r="FR3" s="1124"/>
      <c r="FS3" s="1124"/>
      <c r="FT3" s="1124"/>
      <c r="FU3" s="1124"/>
      <c r="FV3" s="1124"/>
      <c r="FW3" s="1124"/>
      <c r="FX3" s="1124"/>
      <c r="FY3" s="1124"/>
      <c r="FZ3" s="1124"/>
      <c r="GA3" s="1124"/>
      <c r="GB3" s="1124"/>
      <c r="GC3" s="1124"/>
      <c r="GD3" s="1124"/>
      <c r="GE3" s="1124"/>
      <c r="GF3" s="1124"/>
      <c r="GG3" s="1124"/>
      <c r="GH3" s="1124"/>
      <c r="GI3" s="1124"/>
      <c r="GJ3" s="1124"/>
      <c r="GK3" s="1124"/>
      <c r="GL3" s="1124"/>
      <c r="GM3" s="1124"/>
      <c r="GN3" s="1124"/>
      <c r="GO3" s="1124"/>
      <c r="GP3" s="1124"/>
      <c r="GQ3" s="1124"/>
      <c r="GR3" s="1124"/>
      <c r="GS3" s="1124"/>
      <c r="GT3" s="1124"/>
      <c r="GU3" s="1124"/>
      <c r="GV3" s="1124"/>
      <c r="GW3" s="1124"/>
      <c r="GX3" s="1124"/>
      <c r="GY3" s="1124"/>
      <c r="GZ3" s="1124"/>
      <c r="HA3" s="1124"/>
      <c r="HB3" s="1124"/>
      <c r="HC3" s="1124"/>
      <c r="HD3" s="1124"/>
      <c r="HE3" s="1124"/>
      <c r="HF3" s="1124"/>
      <c r="HG3" s="1124"/>
      <c r="HH3" s="1124"/>
      <c r="HI3" s="1124"/>
      <c r="HJ3" s="1124"/>
      <c r="HK3" s="1124"/>
      <c r="HL3" s="1124"/>
      <c r="HM3" s="1124"/>
      <c r="HN3" s="1124"/>
      <c r="HO3" s="1124"/>
      <c r="HP3" s="1124"/>
      <c r="HQ3" s="1124"/>
      <c r="HR3" s="1124"/>
      <c r="HS3" s="1124"/>
      <c r="HT3" s="1124"/>
      <c r="HU3" s="1124"/>
      <c r="HV3" s="1124"/>
      <c r="HW3" s="1124"/>
      <c r="HX3" s="1124"/>
      <c r="HY3" s="1124"/>
      <c r="HZ3" s="1124"/>
      <c r="IA3" s="1124"/>
      <c r="IB3" s="1124"/>
      <c r="IC3" s="1124"/>
      <c r="ID3" s="1124"/>
      <c r="IE3" s="1124"/>
      <c r="IF3" s="1124"/>
      <c r="IG3" s="1124"/>
      <c r="IH3" s="1124"/>
      <c r="II3" s="1124"/>
      <c r="IJ3" s="1124"/>
      <c r="IK3" s="1124"/>
      <c r="IL3" s="1124"/>
      <c r="IM3" s="1124"/>
      <c r="IN3" s="1124"/>
      <c r="IO3" s="1124"/>
      <c r="IP3" s="1124"/>
      <c r="IQ3" s="1124"/>
      <c r="IR3" s="1124"/>
      <c r="IS3" s="1124"/>
      <c r="IT3" s="1124"/>
      <c r="IU3" s="1124"/>
      <c r="IV3" s="1124"/>
    </row>
    <row r="4" spans="1:256" s="1145" customFormat="1">
      <c r="A4" s="2142" t="s">
        <v>1769</v>
      </c>
      <c r="B4" s="2142"/>
      <c r="C4" s="2142"/>
      <c r="D4" s="2142"/>
      <c r="E4" s="2142"/>
      <c r="F4" s="2142"/>
      <c r="G4" s="2142"/>
      <c r="H4" s="2142"/>
      <c r="I4" s="2142"/>
      <c r="J4" s="2142"/>
      <c r="K4" s="2142"/>
      <c r="L4" s="2142"/>
      <c r="M4" s="2142"/>
      <c r="N4" s="2142"/>
      <c r="O4" s="2142"/>
      <c r="P4" s="2142"/>
      <c r="Q4" s="2142"/>
      <c r="R4" s="2142"/>
      <c r="S4" s="2142"/>
      <c r="T4" s="2142"/>
      <c r="U4" s="2142"/>
    </row>
    <row r="5" spans="1:256" s="1131" customFormat="1" ht="18.75" customHeight="1">
      <c r="A5" s="2217" t="s">
        <v>44</v>
      </c>
      <c r="B5" s="2217" t="s">
        <v>45</v>
      </c>
      <c r="C5" s="2217" t="s">
        <v>46</v>
      </c>
      <c r="D5" s="2217" t="s">
        <v>47</v>
      </c>
      <c r="E5" s="2219" t="s">
        <v>48</v>
      </c>
      <c r="F5" s="2220"/>
      <c r="G5" s="2221"/>
      <c r="H5" s="2222" t="s">
        <v>1533</v>
      </c>
      <c r="I5" s="2219" t="s">
        <v>50</v>
      </c>
      <c r="J5" s="2220"/>
      <c r="K5" s="2220"/>
      <c r="L5" s="2220"/>
      <c r="M5" s="2220"/>
      <c r="N5" s="2220"/>
      <c r="O5" s="2220"/>
      <c r="P5" s="2220"/>
      <c r="Q5" s="2220"/>
      <c r="R5" s="2220"/>
      <c r="S5" s="2220"/>
      <c r="T5" s="2221"/>
      <c r="U5" s="2217" t="s">
        <v>51</v>
      </c>
    </row>
    <row r="6" spans="1:256" s="1131" customFormat="1" ht="37.5">
      <c r="A6" s="2218"/>
      <c r="B6" s="2218"/>
      <c r="C6" s="2218"/>
      <c r="D6" s="2218"/>
      <c r="E6" s="1211" t="s">
        <v>52</v>
      </c>
      <c r="F6" s="1212" t="s">
        <v>1534</v>
      </c>
      <c r="G6" s="1212" t="s">
        <v>1559</v>
      </c>
      <c r="H6" s="2223"/>
      <c r="I6" s="1213" t="s">
        <v>55</v>
      </c>
      <c r="J6" s="1213" t="s">
        <v>56</v>
      </c>
      <c r="K6" s="1213" t="s">
        <v>57</v>
      </c>
      <c r="L6" s="1213" t="s">
        <v>58</v>
      </c>
      <c r="M6" s="1213" t="s">
        <v>59</v>
      </c>
      <c r="N6" s="1213" t="s">
        <v>60</v>
      </c>
      <c r="O6" s="1213" t="s">
        <v>61</v>
      </c>
      <c r="P6" s="1213" t="s">
        <v>62</v>
      </c>
      <c r="Q6" s="1213" t="s">
        <v>63</v>
      </c>
      <c r="R6" s="1213" t="s">
        <v>64</v>
      </c>
      <c r="S6" s="1213" t="s">
        <v>65</v>
      </c>
      <c r="T6" s="1213" t="s">
        <v>66</v>
      </c>
      <c r="U6" s="2218"/>
    </row>
    <row r="7" spans="1:256" s="1217" customFormat="1" ht="18.75" customHeight="1">
      <c r="A7" s="2143" t="s">
        <v>1593</v>
      </c>
      <c r="B7" s="2144"/>
      <c r="C7" s="2144"/>
      <c r="D7" s="2144"/>
      <c r="E7" s="2144"/>
      <c r="F7" s="1214"/>
      <c r="G7" s="1214"/>
      <c r="H7" s="1214"/>
      <c r="I7" s="1214"/>
      <c r="J7" s="1214"/>
      <c r="K7" s="1214"/>
      <c r="L7" s="1214"/>
      <c r="M7" s="1214"/>
      <c r="N7" s="1214"/>
      <c r="O7" s="1214"/>
      <c r="P7" s="1214"/>
      <c r="Q7" s="1214"/>
      <c r="R7" s="1214"/>
      <c r="S7" s="1214"/>
      <c r="T7" s="1215"/>
      <c r="U7" s="2145" t="s">
        <v>1594</v>
      </c>
      <c r="V7" s="1216"/>
    </row>
    <row r="8" spans="1:256" s="1217" customFormat="1" ht="33.75" customHeight="1">
      <c r="A8" s="2148" t="s">
        <v>1595</v>
      </c>
      <c r="B8" s="2148" t="s">
        <v>1596</v>
      </c>
      <c r="C8" s="2148" t="s">
        <v>1597</v>
      </c>
      <c r="D8" s="2148" t="s">
        <v>1598</v>
      </c>
      <c r="E8" s="1218" t="s">
        <v>1599</v>
      </c>
      <c r="F8" s="1219">
        <v>1800</v>
      </c>
      <c r="G8" s="2151" t="s">
        <v>1600</v>
      </c>
      <c r="H8" s="2153" t="s">
        <v>1601</v>
      </c>
      <c r="I8" s="2151"/>
      <c r="J8" s="2155">
        <v>5400</v>
      </c>
      <c r="K8" s="2155"/>
      <c r="L8" s="2155"/>
      <c r="M8" s="2155"/>
      <c r="N8" s="2155"/>
      <c r="O8" s="2151"/>
      <c r="P8" s="2151"/>
      <c r="Q8" s="2151"/>
      <c r="R8" s="2151"/>
      <c r="S8" s="2151"/>
      <c r="T8" s="2151"/>
      <c r="U8" s="2146"/>
      <c r="V8" s="1216"/>
    </row>
    <row r="9" spans="1:256" s="1217" customFormat="1" ht="37.5">
      <c r="A9" s="2149"/>
      <c r="B9" s="2149"/>
      <c r="C9" s="2149"/>
      <c r="D9" s="2149"/>
      <c r="E9" s="1218" t="s">
        <v>1602</v>
      </c>
      <c r="F9" s="1219">
        <v>3000</v>
      </c>
      <c r="G9" s="2152"/>
      <c r="H9" s="2154"/>
      <c r="I9" s="2152"/>
      <c r="J9" s="2156"/>
      <c r="K9" s="2156"/>
      <c r="L9" s="2156"/>
      <c r="M9" s="2156"/>
      <c r="N9" s="2156"/>
      <c r="O9" s="2152"/>
      <c r="P9" s="2152"/>
      <c r="Q9" s="2152"/>
      <c r="R9" s="2152"/>
      <c r="S9" s="2152"/>
      <c r="T9" s="2152"/>
      <c r="U9" s="2146"/>
      <c r="V9" s="1216"/>
    </row>
    <row r="10" spans="1:256" s="1217" customFormat="1" ht="56.25">
      <c r="A10" s="2149"/>
      <c r="B10" s="2149"/>
      <c r="C10" s="2149"/>
      <c r="D10" s="2149"/>
      <c r="E10" s="1218" t="s">
        <v>1603</v>
      </c>
      <c r="F10" s="1220">
        <v>600</v>
      </c>
      <c r="G10" s="2152"/>
      <c r="H10" s="2154"/>
      <c r="I10" s="2152"/>
      <c r="J10" s="2156"/>
      <c r="K10" s="2156"/>
      <c r="L10" s="2156"/>
      <c r="M10" s="2156"/>
      <c r="N10" s="2156"/>
      <c r="O10" s="2152"/>
      <c r="P10" s="2152"/>
      <c r="Q10" s="2152"/>
      <c r="R10" s="2152"/>
      <c r="S10" s="2152"/>
      <c r="T10" s="2152"/>
      <c r="U10" s="2146"/>
      <c r="V10" s="1216"/>
    </row>
    <row r="11" spans="1:256" s="1217" customFormat="1">
      <c r="A11" s="2150"/>
      <c r="B11" s="2150"/>
      <c r="C11" s="2150"/>
      <c r="D11" s="2150"/>
      <c r="E11" s="1221" t="s">
        <v>702</v>
      </c>
      <c r="F11" s="1222">
        <f>SUM(F8:F10)</f>
        <v>5400</v>
      </c>
      <c r="G11" s="1223"/>
      <c r="H11" s="1224"/>
      <c r="I11" s="1225"/>
      <c r="J11" s="1225"/>
      <c r="K11" s="1225"/>
      <c r="L11" s="1225"/>
      <c r="M11" s="1225"/>
      <c r="N11" s="1225"/>
      <c r="O11" s="1225"/>
      <c r="P11" s="1225"/>
      <c r="Q11" s="1225"/>
      <c r="R11" s="1225"/>
      <c r="S11" s="1225"/>
      <c r="T11" s="1225"/>
      <c r="U11" s="2147"/>
      <c r="V11" s="1216"/>
    </row>
    <row r="12" spans="1:256" s="1217" customFormat="1" ht="37.5" customHeight="1">
      <c r="A12" s="2148" t="s">
        <v>1604</v>
      </c>
      <c r="B12" s="2148" t="s">
        <v>1605</v>
      </c>
      <c r="C12" s="2148" t="s">
        <v>1597</v>
      </c>
      <c r="D12" s="2148" t="s">
        <v>1606</v>
      </c>
      <c r="E12" s="1218" t="s">
        <v>1607</v>
      </c>
      <c r="F12" s="1219">
        <v>900</v>
      </c>
      <c r="G12" s="2151" t="s">
        <v>1542</v>
      </c>
      <c r="H12" s="2153" t="s">
        <v>1601</v>
      </c>
      <c r="I12" s="1226"/>
      <c r="J12" s="1227">
        <v>5400</v>
      </c>
      <c r="K12" s="1227"/>
      <c r="L12" s="1227"/>
      <c r="M12" s="1227"/>
      <c r="N12" s="1227"/>
      <c r="O12" s="1226"/>
      <c r="P12" s="1226"/>
      <c r="Q12" s="1226"/>
      <c r="R12" s="1226"/>
      <c r="S12" s="1226"/>
      <c r="T12" s="1226"/>
      <c r="U12" s="2145" t="s">
        <v>1594</v>
      </c>
      <c r="V12" s="1216"/>
    </row>
    <row r="13" spans="1:256" s="1217" customFormat="1" ht="37.5">
      <c r="A13" s="2149"/>
      <c r="B13" s="2149"/>
      <c r="C13" s="2149"/>
      <c r="D13" s="2149"/>
      <c r="E13" s="1218" t="s">
        <v>1608</v>
      </c>
      <c r="F13" s="1219">
        <v>900</v>
      </c>
      <c r="G13" s="2152"/>
      <c r="H13" s="2154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2146"/>
      <c r="V13" s="1216"/>
    </row>
    <row r="14" spans="1:256" s="1217" customFormat="1" ht="56.25">
      <c r="A14" s="2149"/>
      <c r="B14" s="2149"/>
      <c r="C14" s="2149"/>
      <c r="D14" s="2149"/>
      <c r="E14" s="1218" t="s">
        <v>1609</v>
      </c>
      <c r="F14" s="1219">
        <v>3600</v>
      </c>
      <c r="G14" s="2152"/>
      <c r="H14" s="2154"/>
      <c r="I14" s="1228"/>
      <c r="J14" s="1228"/>
      <c r="K14" s="1228"/>
      <c r="L14" s="1228"/>
      <c r="M14" s="1228"/>
      <c r="N14" s="1228"/>
      <c r="O14" s="1228"/>
      <c r="P14" s="1228"/>
      <c r="Q14" s="1228"/>
      <c r="R14" s="1228"/>
      <c r="S14" s="1228"/>
      <c r="T14" s="1228"/>
      <c r="U14" s="2146"/>
      <c r="V14" s="1216"/>
    </row>
    <row r="15" spans="1:256" s="1217" customFormat="1">
      <c r="A15" s="2150"/>
      <c r="B15" s="2150"/>
      <c r="C15" s="2150"/>
      <c r="D15" s="2150"/>
      <c r="E15" s="1221" t="s">
        <v>702</v>
      </c>
      <c r="F15" s="1222">
        <f>F12+F13+F14</f>
        <v>5400</v>
      </c>
      <c r="G15" s="1223"/>
      <c r="H15" s="1224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2147"/>
      <c r="V15" s="1216"/>
    </row>
    <row r="16" spans="1:256" s="1217" customFormat="1" ht="37.5" customHeight="1">
      <c r="A16" s="2261" t="s">
        <v>1770</v>
      </c>
      <c r="B16" s="2261" t="s">
        <v>1771</v>
      </c>
      <c r="C16" s="2261" t="s">
        <v>1597</v>
      </c>
      <c r="D16" s="2261" t="s">
        <v>1610</v>
      </c>
      <c r="E16" s="1218" t="s">
        <v>1611</v>
      </c>
      <c r="F16" s="1219">
        <v>1800</v>
      </c>
      <c r="G16" s="2262" t="s">
        <v>1773</v>
      </c>
      <c r="H16" s="2263" t="s">
        <v>1612</v>
      </c>
      <c r="I16" s="2264"/>
      <c r="J16" s="2264"/>
      <c r="K16" s="2265">
        <v>450</v>
      </c>
      <c r="L16" s="2266"/>
      <c r="M16" s="2266"/>
      <c r="N16" s="2265">
        <v>450</v>
      </c>
      <c r="O16" s="2265"/>
      <c r="P16" s="2265"/>
      <c r="Q16" s="2265">
        <v>450</v>
      </c>
      <c r="R16" s="2265"/>
      <c r="S16" s="2265"/>
      <c r="T16" s="2265">
        <v>450</v>
      </c>
      <c r="U16" s="2267"/>
      <c r="V16" s="1216"/>
    </row>
    <row r="17" spans="1:22" s="1217" customFormat="1" ht="41.25" customHeight="1">
      <c r="A17" s="2261"/>
      <c r="B17" s="2261" t="s">
        <v>1772</v>
      </c>
      <c r="C17" s="2261"/>
      <c r="D17" s="2261"/>
      <c r="E17" s="1221" t="s">
        <v>702</v>
      </c>
      <c r="F17" s="1222">
        <f>F16</f>
        <v>1800</v>
      </c>
      <c r="G17" s="2262" t="s">
        <v>1774</v>
      </c>
      <c r="H17" s="2268"/>
      <c r="I17" s="2264"/>
      <c r="J17" s="2264"/>
      <c r="K17" s="2264"/>
      <c r="L17" s="2264"/>
      <c r="M17" s="2264"/>
      <c r="N17" s="2264"/>
      <c r="O17" s="2264"/>
      <c r="P17" s="2264"/>
      <c r="Q17" s="2264"/>
      <c r="R17" s="2264"/>
      <c r="S17" s="2264"/>
      <c r="T17" s="2264"/>
      <c r="U17" s="2146" t="s">
        <v>1594</v>
      </c>
      <c r="V17" s="1216"/>
    </row>
    <row r="18" spans="1:22" s="1217" customFormat="1" ht="37.5" customHeight="1">
      <c r="A18" s="2148" t="s">
        <v>1754</v>
      </c>
      <c r="B18" s="2148" t="s">
        <v>1613</v>
      </c>
      <c r="C18" s="2148" t="s">
        <v>1614</v>
      </c>
      <c r="D18" s="2148" t="s">
        <v>1615</v>
      </c>
      <c r="E18" s="1230" t="s">
        <v>1616</v>
      </c>
      <c r="F18" s="1231">
        <v>2400</v>
      </c>
      <c r="G18" s="2160" t="s">
        <v>1600</v>
      </c>
      <c r="H18" s="2269" t="s">
        <v>1755</v>
      </c>
      <c r="I18" s="1232"/>
      <c r="J18" s="1232"/>
      <c r="K18" s="1232">
        <v>600</v>
      </c>
      <c r="L18" s="1232"/>
      <c r="M18" s="1232"/>
      <c r="N18" s="1232">
        <v>600</v>
      </c>
      <c r="O18" s="1232"/>
      <c r="P18" s="1232"/>
      <c r="Q18" s="1232">
        <v>600</v>
      </c>
      <c r="R18" s="1232"/>
      <c r="S18" s="1232"/>
      <c r="T18" s="1232">
        <v>600</v>
      </c>
      <c r="U18" s="2146"/>
      <c r="V18" s="1216"/>
    </row>
    <row r="19" spans="1:22" s="1217" customFormat="1" ht="126" customHeight="1">
      <c r="A19" s="2150"/>
      <c r="B19" s="2150"/>
      <c r="C19" s="2150"/>
      <c r="D19" s="2150"/>
      <c r="E19" s="1233" t="s">
        <v>702</v>
      </c>
      <c r="F19" s="1234">
        <f>F18</f>
        <v>2400</v>
      </c>
      <c r="G19" s="2161"/>
      <c r="H19" s="2270"/>
      <c r="I19" s="1225"/>
      <c r="J19" s="1225"/>
      <c r="K19" s="1225"/>
      <c r="L19" s="1225"/>
      <c r="M19" s="1225"/>
      <c r="N19" s="1225"/>
      <c r="O19" s="1225"/>
      <c r="P19" s="1225"/>
      <c r="Q19" s="1225"/>
      <c r="R19" s="1225"/>
      <c r="S19" s="1225"/>
      <c r="T19" s="1225"/>
      <c r="U19" s="2147"/>
      <c r="V19" s="1216"/>
    </row>
    <row r="20" spans="1:22" s="1217" customFormat="1" ht="129.75" customHeight="1">
      <c r="A20" s="2174" t="s">
        <v>1617</v>
      </c>
      <c r="B20" s="2174" t="s">
        <v>1618</v>
      </c>
      <c r="C20" s="2174" t="s">
        <v>1619</v>
      </c>
      <c r="D20" s="2174" t="s">
        <v>1620</v>
      </c>
      <c r="E20" s="1218" t="s">
        <v>1756</v>
      </c>
      <c r="F20" s="1235">
        <v>12000</v>
      </c>
      <c r="G20" s="2151" t="s">
        <v>1600</v>
      </c>
      <c r="H20" s="2162" t="s">
        <v>1621</v>
      </c>
      <c r="I20" s="2165"/>
      <c r="J20" s="2165"/>
      <c r="K20" s="2165"/>
      <c r="L20" s="2165"/>
      <c r="M20" s="2165"/>
      <c r="N20" s="2165"/>
      <c r="O20" s="2165"/>
      <c r="P20" s="2165"/>
      <c r="Q20" s="2165"/>
      <c r="R20" s="2165"/>
      <c r="S20" s="2168">
        <v>13650</v>
      </c>
      <c r="T20" s="2165"/>
      <c r="U20" s="2145" t="s">
        <v>1594</v>
      </c>
      <c r="V20" s="1216"/>
    </row>
    <row r="21" spans="1:22" s="1217" customFormat="1" ht="37.5">
      <c r="A21" s="2175"/>
      <c r="B21" s="2175"/>
      <c r="C21" s="2175"/>
      <c r="D21" s="2175"/>
      <c r="E21" s="1218" t="s">
        <v>1622</v>
      </c>
      <c r="F21" s="1235">
        <v>450</v>
      </c>
      <c r="G21" s="2152"/>
      <c r="H21" s="2163"/>
      <c r="I21" s="2166"/>
      <c r="J21" s="2166"/>
      <c r="K21" s="2166"/>
      <c r="L21" s="2166"/>
      <c r="M21" s="2166"/>
      <c r="N21" s="2166"/>
      <c r="O21" s="2166"/>
      <c r="P21" s="2166"/>
      <c r="Q21" s="2166"/>
      <c r="R21" s="2166"/>
      <c r="S21" s="2169"/>
      <c r="T21" s="2166"/>
      <c r="U21" s="2146"/>
      <c r="V21" s="1216"/>
    </row>
    <row r="22" spans="1:22" s="1217" customFormat="1" ht="37.5">
      <c r="A22" s="2175"/>
      <c r="B22" s="2175"/>
      <c r="C22" s="2175"/>
      <c r="D22" s="2175"/>
      <c r="E22" s="1236" t="s">
        <v>1623</v>
      </c>
      <c r="F22" s="1235">
        <v>1200</v>
      </c>
      <c r="G22" s="2152"/>
      <c r="H22" s="2163"/>
      <c r="I22" s="2166"/>
      <c r="J22" s="2166"/>
      <c r="K22" s="2166"/>
      <c r="L22" s="2166"/>
      <c r="M22" s="2166"/>
      <c r="N22" s="2166"/>
      <c r="O22" s="2166"/>
      <c r="P22" s="2166"/>
      <c r="Q22" s="2166"/>
      <c r="R22" s="2166"/>
      <c r="S22" s="2169"/>
      <c r="T22" s="2166"/>
      <c r="U22" s="2146"/>
      <c r="V22" s="1216"/>
    </row>
    <row r="23" spans="1:22" s="1217" customFormat="1">
      <c r="A23" s="2176"/>
      <c r="B23" s="2176"/>
      <c r="C23" s="2176"/>
      <c r="D23" s="2176"/>
      <c r="E23" s="1221" t="s">
        <v>702</v>
      </c>
      <c r="F23" s="1237">
        <f>F20+F21+F22</f>
        <v>13650</v>
      </c>
      <c r="G23" s="2177"/>
      <c r="H23" s="2164"/>
      <c r="I23" s="2167"/>
      <c r="J23" s="2167"/>
      <c r="K23" s="2167"/>
      <c r="L23" s="2167"/>
      <c r="M23" s="2167"/>
      <c r="N23" s="2167"/>
      <c r="O23" s="2167"/>
      <c r="P23" s="2167"/>
      <c r="Q23" s="2167"/>
      <c r="R23" s="2167"/>
      <c r="S23" s="2170"/>
      <c r="T23" s="2167"/>
      <c r="U23" s="2147"/>
      <c r="V23" s="1238"/>
    </row>
    <row r="24" spans="1:22" s="1241" customFormat="1" ht="31.5" customHeight="1">
      <c r="A24" s="2271" t="s">
        <v>1624</v>
      </c>
      <c r="B24" s="2271" t="s">
        <v>1625</v>
      </c>
      <c r="C24" s="2271" t="s">
        <v>1626</v>
      </c>
      <c r="D24" s="2174" t="s">
        <v>1627</v>
      </c>
      <c r="E24" s="1239" t="s">
        <v>1628</v>
      </c>
      <c r="F24" s="1240">
        <v>9000</v>
      </c>
      <c r="G24" s="2171" t="s">
        <v>1600</v>
      </c>
      <c r="H24" s="2206" t="s">
        <v>1629</v>
      </c>
      <c r="I24" s="2171"/>
      <c r="J24" s="2171"/>
      <c r="K24" s="2178">
        <v>38100</v>
      </c>
      <c r="L24" s="2171"/>
      <c r="M24" s="2171"/>
      <c r="N24" s="2171"/>
      <c r="O24" s="2171"/>
      <c r="P24" s="2171"/>
      <c r="Q24" s="2171"/>
      <c r="R24" s="2171"/>
      <c r="S24" s="2171"/>
      <c r="T24" s="2171"/>
      <c r="U24" s="2157" t="s">
        <v>1594</v>
      </c>
      <c r="V24" s="1238"/>
    </row>
    <row r="25" spans="1:22" s="1217" customFormat="1" ht="50.25" customHeight="1">
      <c r="A25" s="2272"/>
      <c r="B25" s="2272"/>
      <c r="C25" s="2272"/>
      <c r="D25" s="2175"/>
      <c r="E25" s="1242" t="s">
        <v>1630</v>
      </c>
      <c r="F25" s="1240">
        <v>5400</v>
      </c>
      <c r="G25" s="2172"/>
      <c r="H25" s="2207"/>
      <c r="I25" s="2172"/>
      <c r="J25" s="2172"/>
      <c r="K25" s="2179"/>
      <c r="L25" s="2172"/>
      <c r="M25" s="2172"/>
      <c r="N25" s="2172"/>
      <c r="O25" s="2172"/>
      <c r="P25" s="2172"/>
      <c r="Q25" s="2172"/>
      <c r="R25" s="2172"/>
      <c r="S25" s="2172"/>
      <c r="T25" s="2172"/>
      <c r="U25" s="2158"/>
      <c r="V25" s="1238"/>
    </row>
    <row r="26" spans="1:22" s="1217" customFormat="1" ht="65.25" customHeight="1">
      <c r="A26" s="2272"/>
      <c r="B26" s="2272"/>
      <c r="C26" s="2272"/>
      <c r="D26" s="2175"/>
      <c r="E26" s="1239" t="s">
        <v>1631</v>
      </c>
      <c r="F26" s="1240">
        <v>10800</v>
      </c>
      <c r="G26" s="2172"/>
      <c r="H26" s="2207"/>
      <c r="I26" s="2172"/>
      <c r="J26" s="2172"/>
      <c r="K26" s="2179"/>
      <c r="L26" s="2172"/>
      <c r="M26" s="2172"/>
      <c r="N26" s="2172"/>
      <c r="O26" s="2172"/>
      <c r="P26" s="2172"/>
      <c r="Q26" s="2172"/>
      <c r="R26" s="2172"/>
      <c r="S26" s="2172"/>
      <c r="T26" s="2172"/>
      <c r="U26" s="2158"/>
      <c r="V26" s="1238"/>
    </row>
    <row r="27" spans="1:22" s="1217" customFormat="1" ht="75">
      <c r="A27" s="2272"/>
      <c r="B27" s="2272"/>
      <c r="C27" s="2272"/>
      <c r="D27" s="2175"/>
      <c r="E27" s="1239" t="s">
        <v>1632</v>
      </c>
      <c r="F27" s="1240">
        <v>7200</v>
      </c>
      <c r="G27" s="2172"/>
      <c r="H27" s="2207"/>
      <c r="I27" s="2172"/>
      <c r="J27" s="2172"/>
      <c r="K27" s="2179"/>
      <c r="L27" s="2172"/>
      <c r="M27" s="2172"/>
      <c r="N27" s="2172"/>
      <c r="O27" s="2172"/>
      <c r="P27" s="2172"/>
      <c r="Q27" s="2172"/>
      <c r="R27" s="2172"/>
      <c r="S27" s="2172"/>
      <c r="T27" s="2172"/>
      <c r="U27" s="2158"/>
      <c r="V27" s="1238"/>
    </row>
    <row r="28" spans="1:22" s="1217" customFormat="1" ht="56.25">
      <c r="A28" s="2272"/>
      <c r="B28" s="2272"/>
      <c r="C28" s="2272"/>
      <c r="D28" s="2175"/>
      <c r="E28" s="1239" t="s">
        <v>1633</v>
      </c>
      <c r="F28" s="1240">
        <v>1500</v>
      </c>
      <c r="G28" s="2173"/>
      <c r="H28" s="2208"/>
      <c r="I28" s="2173"/>
      <c r="J28" s="2173"/>
      <c r="K28" s="2180"/>
      <c r="L28" s="2173"/>
      <c r="M28" s="2173"/>
      <c r="N28" s="2173"/>
      <c r="O28" s="2173"/>
      <c r="P28" s="2173"/>
      <c r="Q28" s="2173"/>
      <c r="R28" s="2173"/>
      <c r="S28" s="2173"/>
      <c r="T28" s="2173"/>
      <c r="U28" s="2159"/>
      <c r="V28" s="1238"/>
    </row>
    <row r="29" spans="1:22" s="1217" customFormat="1" ht="56.25" customHeight="1">
      <c r="A29" s="2272"/>
      <c r="B29" s="2272"/>
      <c r="C29" s="2272"/>
      <c r="D29" s="2175"/>
      <c r="E29" s="1407" t="s">
        <v>1634</v>
      </c>
      <c r="F29" s="1408">
        <v>1800</v>
      </c>
      <c r="G29" s="2165" t="s">
        <v>1600</v>
      </c>
      <c r="H29" s="2273"/>
      <c r="I29" s="2273"/>
      <c r="J29" s="2273"/>
      <c r="K29" s="2273"/>
      <c r="L29" s="2273"/>
      <c r="M29" s="2273"/>
      <c r="N29" s="2273"/>
      <c r="O29" s="2273"/>
      <c r="P29" s="2273"/>
      <c r="Q29" s="2273"/>
      <c r="R29" s="2273"/>
      <c r="S29" s="2273"/>
      <c r="T29" s="2273"/>
      <c r="U29" s="2273"/>
      <c r="V29" s="1238"/>
    </row>
    <row r="30" spans="1:22" s="1217" customFormat="1" ht="37.5">
      <c r="A30" s="2276"/>
      <c r="B30" s="2276"/>
      <c r="C30" s="2276"/>
      <c r="D30" s="2176"/>
      <c r="E30" s="1239" t="s">
        <v>1635</v>
      </c>
      <c r="F30" s="1240">
        <v>1500</v>
      </c>
      <c r="G30" s="2167"/>
      <c r="H30" s="1401"/>
      <c r="I30" s="1401"/>
      <c r="J30" s="1401"/>
      <c r="K30" s="1401"/>
      <c r="L30" s="1401"/>
      <c r="M30" s="1401"/>
      <c r="N30" s="1401"/>
      <c r="O30" s="1401"/>
      <c r="P30" s="1401"/>
      <c r="Q30" s="1401"/>
      <c r="R30" s="1401"/>
      <c r="S30" s="1401"/>
      <c r="T30" s="1401"/>
      <c r="U30" s="1401"/>
      <c r="V30" s="1238"/>
    </row>
    <row r="31" spans="1:22" s="1217" customFormat="1" ht="75">
      <c r="A31" s="1414"/>
      <c r="B31" s="1393"/>
      <c r="C31" s="1393"/>
      <c r="D31" s="1414"/>
      <c r="E31" s="1407" t="s">
        <v>1636</v>
      </c>
      <c r="F31" s="1408">
        <v>900</v>
      </c>
      <c r="G31" s="1395"/>
      <c r="H31" s="1401"/>
      <c r="I31" s="1401"/>
      <c r="J31" s="1401"/>
      <c r="K31" s="1401"/>
      <c r="L31" s="1401"/>
      <c r="M31" s="1401"/>
      <c r="N31" s="1401"/>
      <c r="O31" s="1401"/>
      <c r="P31" s="1401"/>
      <c r="Q31" s="1401"/>
      <c r="R31" s="1401"/>
      <c r="S31" s="1401"/>
      <c r="T31" s="1401"/>
      <c r="U31" s="1401"/>
      <c r="V31" s="1238"/>
    </row>
    <row r="32" spans="1:22" s="1217" customFormat="1">
      <c r="A32" s="1392"/>
      <c r="B32" s="1392"/>
      <c r="C32" s="1392"/>
      <c r="D32" s="1392"/>
      <c r="E32" s="2274" t="s">
        <v>4</v>
      </c>
      <c r="F32" s="2275">
        <f>SUM(F24:F31)</f>
        <v>38100</v>
      </c>
      <c r="G32" s="1394"/>
      <c r="H32" s="1400"/>
      <c r="I32" s="1394"/>
      <c r="J32" s="1394"/>
      <c r="K32" s="1396"/>
      <c r="L32" s="1394"/>
      <c r="M32" s="1394"/>
      <c r="N32" s="1394"/>
      <c r="O32" s="1394"/>
      <c r="P32" s="1394"/>
      <c r="Q32" s="1394"/>
      <c r="R32" s="1394"/>
      <c r="S32" s="1394"/>
      <c r="T32" s="1394"/>
      <c r="U32" s="1398"/>
      <c r="V32" s="1238"/>
    </row>
    <row r="33" spans="1:22" s="1217" customFormat="1">
      <c r="A33" s="1393"/>
      <c r="B33" s="1393"/>
      <c r="C33" s="1393"/>
      <c r="D33" s="1393"/>
      <c r="E33" s="1243" t="s">
        <v>1637</v>
      </c>
      <c r="F33" s="1244">
        <f>F11+F15+F17+F19+F23+F32</f>
        <v>66750</v>
      </c>
      <c r="G33" s="1395"/>
      <c r="H33" s="1401"/>
      <c r="I33" s="1395"/>
      <c r="J33" s="1395"/>
      <c r="K33" s="1397"/>
      <c r="L33" s="1395"/>
      <c r="M33" s="1395"/>
      <c r="N33" s="1395"/>
      <c r="O33" s="1395"/>
      <c r="P33" s="1395"/>
      <c r="Q33" s="1395"/>
      <c r="R33" s="1395"/>
      <c r="S33" s="1395"/>
      <c r="T33" s="1395"/>
      <c r="U33" s="1399"/>
      <c r="V33" s="1238"/>
    </row>
    <row r="34" spans="1:22" s="1217" customFormat="1" ht="18.75" customHeight="1">
      <c r="A34" s="2143" t="s">
        <v>1638</v>
      </c>
      <c r="B34" s="2144"/>
      <c r="C34" s="2144"/>
      <c r="D34" s="2144"/>
      <c r="E34" s="2144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6"/>
    </row>
    <row r="35" spans="1:22" s="1217" customFormat="1" ht="63" customHeight="1">
      <c r="A35" s="2148" t="s">
        <v>1639</v>
      </c>
      <c r="B35" s="2148" t="s">
        <v>1640</v>
      </c>
      <c r="C35" s="2148" t="s">
        <v>1641</v>
      </c>
      <c r="D35" s="2148" t="s">
        <v>1642</v>
      </c>
      <c r="E35" s="1247" t="s">
        <v>1643</v>
      </c>
      <c r="F35" s="1248">
        <v>2400</v>
      </c>
      <c r="G35" s="2160" t="s">
        <v>1600</v>
      </c>
      <c r="H35" s="1249" t="s">
        <v>1644</v>
      </c>
      <c r="I35" s="1250"/>
      <c r="J35" s="1250"/>
      <c r="K35" s="1250"/>
      <c r="L35" s="1250"/>
      <c r="M35" s="1229"/>
      <c r="N35" s="1229">
        <v>1200</v>
      </c>
      <c r="O35" s="1229"/>
      <c r="P35" s="1229"/>
      <c r="Q35" s="1229"/>
      <c r="R35" s="1229"/>
      <c r="S35" s="1229"/>
      <c r="T35" s="1229">
        <v>1200</v>
      </c>
      <c r="U35" s="2145" t="s">
        <v>1594</v>
      </c>
    </row>
    <row r="36" spans="1:22" s="1217" customFormat="1" ht="15" customHeight="1">
      <c r="A36" s="2150"/>
      <c r="B36" s="2150"/>
      <c r="C36" s="2150"/>
      <c r="D36" s="2150"/>
      <c r="E36" s="1251" t="s">
        <v>702</v>
      </c>
      <c r="F36" s="1252">
        <f>F35</f>
        <v>2400</v>
      </c>
      <c r="G36" s="2161"/>
      <c r="H36" s="1253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2146"/>
    </row>
    <row r="37" spans="1:22" s="1217" customFormat="1" ht="69" customHeight="1">
      <c r="A37" s="2185" t="s">
        <v>1645</v>
      </c>
      <c r="B37" s="2185" t="s">
        <v>1646</v>
      </c>
      <c r="C37" s="2185" t="s">
        <v>1647</v>
      </c>
      <c r="D37" s="2185" t="s">
        <v>1648</v>
      </c>
      <c r="E37" s="1255" t="s">
        <v>1649</v>
      </c>
      <c r="F37" s="1256">
        <v>9800</v>
      </c>
      <c r="G37" s="2151" t="s">
        <v>1600</v>
      </c>
      <c r="H37" s="1409" t="s">
        <v>1612</v>
      </c>
      <c r="I37" s="1254"/>
      <c r="J37" s="1254"/>
      <c r="K37" s="1258">
        <v>2450</v>
      </c>
      <c r="L37" s="1258"/>
      <c r="M37" s="1258"/>
      <c r="N37" s="1258">
        <v>2450</v>
      </c>
      <c r="O37" s="1258"/>
      <c r="P37" s="1258"/>
      <c r="Q37" s="1258">
        <v>2450</v>
      </c>
      <c r="R37" s="1258"/>
      <c r="S37" s="1258"/>
      <c r="T37" s="1258">
        <v>2450</v>
      </c>
      <c r="U37" s="2146"/>
    </row>
    <row r="38" spans="1:22" s="1217" customFormat="1">
      <c r="A38" s="2186"/>
      <c r="B38" s="2186"/>
      <c r="C38" s="2186"/>
      <c r="D38" s="2186"/>
      <c r="E38" s="1259" t="s">
        <v>702</v>
      </c>
      <c r="F38" s="1252">
        <f>F37</f>
        <v>9800</v>
      </c>
      <c r="G38" s="2177"/>
      <c r="H38" s="1410"/>
      <c r="I38" s="1254"/>
      <c r="J38" s="1254"/>
      <c r="K38" s="1258"/>
      <c r="L38" s="1258"/>
      <c r="M38" s="1258"/>
      <c r="N38" s="1258"/>
      <c r="O38" s="1258"/>
      <c r="P38" s="1258"/>
      <c r="Q38" s="1258"/>
      <c r="R38" s="1258"/>
      <c r="S38" s="1258"/>
      <c r="T38" s="1258"/>
      <c r="U38" s="2146"/>
    </row>
    <row r="39" spans="1:22" s="1217" customFormat="1" ht="56.25" customHeight="1">
      <c r="A39" s="2187" t="s">
        <v>1757</v>
      </c>
      <c r="B39" s="2189" t="s">
        <v>1646</v>
      </c>
      <c r="C39" s="2185" t="s">
        <v>1647</v>
      </c>
      <c r="D39" s="2185" t="s">
        <v>1648</v>
      </c>
      <c r="E39" s="1255" t="s">
        <v>1650</v>
      </c>
      <c r="F39" s="1256">
        <v>6000</v>
      </c>
      <c r="G39" s="2160" t="s">
        <v>1600</v>
      </c>
      <c r="H39" s="2215" t="s">
        <v>1612</v>
      </c>
      <c r="I39" s="2181"/>
      <c r="J39" s="2181"/>
      <c r="K39" s="2183">
        <v>1500</v>
      </c>
      <c r="L39" s="2183"/>
      <c r="M39" s="2183"/>
      <c r="N39" s="2183">
        <v>1500</v>
      </c>
      <c r="O39" s="2183"/>
      <c r="P39" s="2183"/>
      <c r="Q39" s="2183">
        <v>1500</v>
      </c>
      <c r="R39" s="2183"/>
      <c r="S39" s="2183"/>
      <c r="T39" s="2183">
        <v>1500</v>
      </c>
      <c r="U39" s="2146"/>
    </row>
    <row r="40" spans="1:22" s="1217" customFormat="1">
      <c r="A40" s="2188"/>
      <c r="B40" s="2190"/>
      <c r="C40" s="2186"/>
      <c r="D40" s="2186"/>
      <c r="E40" s="1260" t="s">
        <v>702</v>
      </c>
      <c r="F40" s="1261">
        <f>F39</f>
        <v>6000</v>
      </c>
      <c r="G40" s="2161"/>
      <c r="H40" s="2216"/>
      <c r="I40" s="2182"/>
      <c r="J40" s="2182"/>
      <c r="K40" s="2184"/>
      <c r="L40" s="2184"/>
      <c r="M40" s="2184"/>
      <c r="N40" s="2184"/>
      <c r="O40" s="2184"/>
      <c r="P40" s="2184"/>
      <c r="Q40" s="2184"/>
      <c r="R40" s="2184"/>
      <c r="S40" s="2184"/>
      <c r="T40" s="2184"/>
      <c r="U40" s="2147"/>
    </row>
    <row r="41" spans="1:22" s="1265" customFormat="1" ht="26.25" customHeight="1">
      <c r="A41" s="2194"/>
      <c r="B41" s="2195"/>
      <c r="C41" s="2195"/>
      <c r="D41" s="2196"/>
      <c r="E41" s="1251" t="s">
        <v>1651</v>
      </c>
      <c r="F41" s="1252">
        <f>F36+F38+F40</f>
        <v>18200</v>
      </c>
      <c r="G41" s="1257"/>
      <c r="H41" s="1257"/>
      <c r="I41" s="1262"/>
      <c r="J41" s="1262"/>
      <c r="K41" s="1263"/>
      <c r="L41" s="1263"/>
      <c r="M41" s="1263"/>
      <c r="N41" s="1263"/>
      <c r="O41" s="1263"/>
      <c r="P41" s="1263"/>
      <c r="Q41" s="1263"/>
      <c r="R41" s="1263"/>
      <c r="S41" s="1263"/>
      <c r="T41" s="1263"/>
      <c r="U41" s="1264"/>
    </row>
    <row r="42" spans="1:22" s="1217" customFormat="1" ht="18.75" customHeight="1">
      <c r="A42" s="2143" t="s">
        <v>1716</v>
      </c>
      <c r="B42" s="2144"/>
      <c r="C42" s="2144"/>
      <c r="D42" s="2144"/>
      <c r="E42" s="214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5"/>
      <c r="U42" s="1266"/>
    </row>
    <row r="43" spans="1:22" s="1217" customFormat="1" ht="32.25" customHeight="1">
      <c r="A43" s="2197" t="s">
        <v>1652</v>
      </c>
      <c r="B43" s="2197" t="s">
        <v>1653</v>
      </c>
      <c r="C43" s="2197" t="s">
        <v>1654</v>
      </c>
      <c r="D43" s="2148" t="s">
        <v>1655</v>
      </c>
      <c r="E43" s="1267" t="s">
        <v>1656</v>
      </c>
      <c r="F43" s="1268">
        <v>5000</v>
      </c>
      <c r="G43" s="2151" t="s">
        <v>1600</v>
      </c>
      <c r="H43" s="2153" t="s">
        <v>1657</v>
      </c>
      <c r="I43" s="1226"/>
      <c r="J43" s="1226"/>
      <c r="K43" s="1226"/>
      <c r="L43" s="2155">
        <v>12600</v>
      </c>
      <c r="M43" s="1227"/>
      <c r="N43" s="1227"/>
      <c r="O43" s="1226"/>
      <c r="P43" s="1226"/>
      <c r="Q43" s="1226"/>
      <c r="R43" s="1226"/>
      <c r="S43" s="1226"/>
      <c r="T43" s="1226"/>
      <c r="U43" s="2145" t="s">
        <v>1658</v>
      </c>
    </row>
    <row r="44" spans="1:22" s="1217" customFormat="1" ht="37.5">
      <c r="A44" s="2198"/>
      <c r="B44" s="2198"/>
      <c r="C44" s="2198"/>
      <c r="D44" s="2149"/>
      <c r="E44" s="1218" t="s">
        <v>1659</v>
      </c>
      <c r="F44" s="1219">
        <v>3000</v>
      </c>
      <c r="G44" s="2152"/>
      <c r="H44" s="2154"/>
      <c r="I44" s="1226"/>
      <c r="J44" s="1226"/>
      <c r="K44" s="1226"/>
      <c r="L44" s="2156"/>
      <c r="M44" s="1226"/>
      <c r="N44" s="1226"/>
      <c r="O44" s="1226"/>
      <c r="P44" s="1226"/>
      <c r="Q44" s="1226"/>
      <c r="R44" s="1226"/>
      <c r="S44" s="1226"/>
      <c r="T44" s="1226"/>
      <c r="U44" s="2146"/>
    </row>
    <row r="45" spans="1:22" s="1217" customFormat="1" ht="56.25">
      <c r="A45" s="2198"/>
      <c r="B45" s="2198"/>
      <c r="C45" s="2198"/>
      <c r="D45" s="2149"/>
      <c r="E45" s="1218" t="s">
        <v>1660</v>
      </c>
      <c r="F45" s="1219">
        <v>3600</v>
      </c>
      <c r="G45" s="2152"/>
      <c r="H45" s="2154"/>
      <c r="I45" s="1226"/>
      <c r="J45" s="1226"/>
      <c r="K45" s="1226"/>
      <c r="L45" s="2156"/>
      <c r="M45" s="1226"/>
      <c r="N45" s="1226"/>
      <c r="O45" s="1226"/>
      <c r="P45" s="1226"/>
      <c r="Q45" s="1226"/>
      <c r="R45" s="1226"/>
      <c r="S45" s="1226"/>
      <c r="T45" s="1226"/>
      <c r="U45" s="2146"/>
    </row>
    <row r="46" spans="1:22" s="1217" customFormat="1" ht="37.5">
      <c r="A46" s="2198"/>
      <c r="B46" s="2198"/>
      <c r="C46" s="2198"/>
      <c r="D46" s="2149"/>
      <c r="E46" s="1218" t="s">
        <v>1661</v>
      </c>
      <c r="F46" s="1219">
        <v>1000</v>
      </c>
      <c r="G46" s="2152"/>
      <c r="H46" s="2154"/>
      <c r="I46" s="1226"/>
      <c r="J46" s="1226"/>
      <c r="K46" s="1226"/>
      <c r="L46" s="2156"/>
      <c r="M46" s="1226"/>
      <c r="N46" s="1226"/>
      <c r="O46" s="1226"/>
      <c r="P46" s="1226"/>
      <c r="Q46" s="1226"/>
      <c r="R46" s="1226"/>
      <c r="S46" s="1226"/>
      <c r="T46" s="1226"/>
      <c r="U46" s="2146"/>
    </row>
    <row r="47" spans="1:22" s="1217" customFormat="1">
      <c r="A47" s="2199"/>
      <c r="B47" s="2199"/>
      <c r="C47" s="2199"/>
      <c r="D47" s="2150"/>
      <c r="E47" s="1269" t="s">
        <v>1715</v>
      </c>
      <c r="F47" s="1222">
        <f>F43+F44+F45+F46</f>
        <v>12600</v>
      </c>
      <c r="G47" s="1223"/>
      <c r="H47" s="1270"/>
      <c r="I47" s="1225"/>
      <c r="J47" s="1225"/>
      <c r="K47" s="1225"/>
      <c r="L47" s="1225"/>
      <c r="M47" s="1225"/>
      <c r="N47" s="1225"/>
      <c r="O47" s="1225"/>
      <c r="P47" s="1225"/>
      <c r="Q47" s="1225"/>
      <c r="R47" s="1225"/>
      <c r="S47" s="1225"/>
      <c r="T47" s="1225"/>
      <c r="U47" s="2147"/>
    </row>
    <row r="48" spans="1:22" s="1217" customFormat="1" ht="18.75" customHeight="1">
      <c r="A48" s="2143" t="s">
        <v>1717</v>
      </c>
      <c r="B48" s="2144"/>
      <c r="C48" s="2144"/>
      <c r="D48" s="2144"/>
      <c r="E48" s="214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5"/>
      <c r="U48" s="1271"/>
    </row>
    <row r="49" spans="1:37" s="1217" customFormat="1" ht="78.75" customHeight="1">
      <c r="A49" s="2197" t="s">
        <v>1662</v>
      </c>
      <c r="B49" s="2213" t="s">
        <v>1663</v>
      </c>
      <c r="C49" s="2197" t="s">
        <v>1664</v>
      </c>
      <c r="D49" s="2197" t="s">
        <v>1665</v>
      </c>
      <c r="E49" s="1272" t="s">
        <v>1666</v>
      </c>
      <c r="F49" s="1273">
        <v>900</v>
      </c>
      <c r="G49" s="1274" t="s">
        <v>1600</v>
      </c>
      <c r="H49" s="1275" t="s">
        <v>1657</v>
      </c>
      <c r="I49" s="1276"/>
      <c r="J49" s="1276"/>
      <c r="K49" s="1276"/>
      <c r="L49" s="1277">
        <v>900</v>
      </c>
      <c r="M49" s="1278"/>
      <c r="N49" s="1278"/>
      <c r="O49" s="1277"/>
      <c r="P49" s="1276"/>
      <c r="Q49" s="1276"/>
      <c r="R49" s="1276"/>
      <c r="S49" s="1276"/>
      <c r="T49" s="1276"/>
      <c r="U49" s="2191" t="s">
        <v>1594</v>
      </c>
    </row>
    <row r="50" spans="1:37" s="1217" customFormat="1" ht="19.5" customHeight="1">
      <c r="A50" s="2199"/>
      <c r="B50" s="2214"/>
      <c r="C50" s="2199"/>
      <c r="D50" s="2199"/>
      <c r="E50" s="1279" t="s">
        <v>702</v>
      </c>
      <c r="F50" s="1280">
        <f>SUM(F49:F49)</f>
        <v>900</v>
      </c>
      <c r="G50" s="1281"/>
      <c r="H50" s="1282"/>
      <c r="I50" s="1283"/>
      <c r="J50" s="1283"/>
      <c r="K50" s="1283"/>
      <c r="L50" s="1283"/>
      <c r="M50" s="1283"/>
      <c r="N50" s="1283"/>
      <c r="O50" s="1283"/>
      <c r="P50" s="1283"/>
      <c r="Q50" s="1283"/>
      <c r="R50" s="1283"/>
      <c r="S50" s="1283"/>
      <c r="T50" s="1284"/>
      <c r="U50" s="2192"/>
      <c r="V50" s="1285"/>
      <c r="W50" s="1285"/>
      <c r="X50" s="1285"/>
      <c r="Y50" s="1285"/>
      <c r="Z50" s="1285"/>
      <c r="AA50" s="1285"/>
      <c r="AB50" s="1285"/>
      <c r="AC50" s="1285"/>
      <c r="AD50" s="1285"/>
      <c r="AE50" s="1285"/>
      <c r="AF50" s="1285"/>
      <c r="AG50" s="1285"/>
      <c r="AH50" s="1285"/>
      <c r="AI50" s="1285"/>
      <c r="AJ50" s="1285"/>
      <c r="AK50" s="1285"/>
    </row>
    <row r="51" spans="1:37" s="1217" customFormat="1" ht="36.75" customHeight="1">
      <c r="A51" s="2148" t="s">
        <v>1758</v>
      </c>
      <c r="B51" s="2203" t="s">
        <v>1759</v>
      </c>
      <c r="C51" s="2197" t="s">
        <v>1667</v>
      </c>
      <c r="D51" s="2200" t="s">
        <v>1760</v>
      </c>
      <c r="E51" s="1286" t="s">
        <v>1668</v>
      </c>
      <c r="F51" s="1287">
        <v>600</v>
      </c>
      <c r="G51" s="2209" t="s">
        <v>1600</v>
      </c>
      <c r="H51" s="2211" t="s">
        <v>1669</v>
      </c>
      <c r="I51" s="1288"/>
      <c r="J51" s="1288"/>
      <c r="K51" s="1288"/>
      <c r="L51" s="1288"/>
      <c r="M51" s="1288"/>
      <c r="N51" s="1288"/>
      <c r="O51" s="1288"/>
      <c r="P51" s="1288"/>
      <c r="Q51" s="1288"/>
      <c r="R51" s="1288"/>
      <c r="S51" s="1289">
        <v>1800</v>
      </c>
      <c r="T51" s="1288"/>
      <c r="U51" s="2192"/>
    </row>
    <row r="52" spans="1:37" s="1217" customFormat="1" ht="37.5">
      <c r="A52" s="2149"/>
      <c r="B52" s="2204"/>
      <c r="C52" s="2198"/>
      <c r="D52" s="2201"/>
      <c r="E52" s="1290" t="s">
        <v>1670</v>
      </c>
      <c r="F52" s="1287">
        <v>1200</v>
      </c>
      <c r="G52" s="2210"/>
      <c r="H52" s="2212"/>
      <c r="I52" s="1291"/>
      <c r="J52" s="1291"/>
      <c r="K52" s="1291"/>
      <c r="L52" s="1291"/>
      <c r="M52" s="1291"/>
      <c r="N52" s="1291"/>
      <c r="O52" s="1291"/>
      <c r="P52" s="1291"/>
      <c r="Q52" s="1291"/>
      <c r="R52" s="1291"/>
      <c r="S52" s="1291"/>
      <c r="T52" s="1291"/>
      <c r="U52" s="2192"/>
    </row>
    <row r="53" spans="1:37" s="1217" customFormat="1" ht="18.75" customHeight="1">
      <c r="A53" s="2149"/>
      <c r="B53" s="2204"/>
      <c r="C53" s="2198"/>
      <c r="D53" s="2201"/>
      <c r="E53" s="1279" t="s">
        <v>702</v>
      </c>
      <c r="F53" s="1280">
        <f>F51+F52</f>
        <v>1800</v>
      </c>
      <c r="G53" s="1282"/>
      <c r="H53" s="1292"/>
      <c r="I53" s="1293"/>
      <c r="J53" s="1293"/>
      <c r="K53" s="1293"/>
      <c r="L53" s="1293"/>
      <c r="M53" s="1293"/>
      <c r="N53" s="1293"/>
      <c r="O53" s="1293"/>
      <c r="P53" s="1293"/>
      <c r="Q53" s="1293"/>
      <c r="R53" s="1293"/>
      <c r="S53" s="1293"/>
      <c r="T53" s="1293"/>
      <c r="U53" s="2193"/>
      <c r="V53" s="1285"/>
    </row>
    <row r="54" spans="1:37" s="1217" customFormat="1" ht="15" customHeight="1">
      <c r="A54" s="2150"/>
      <c r="B54" s="2205"/>
      <c r="C54" s="2199"/>
      <c r="D54" s="2202"/>
      <c r="E54" s="1279" t="s">
        <v>1718</v>
      </c>
      <c r="F54" s="1280">
        <f>F50+F53</f>
        <v>2700</v>
      </c>
      <c r="G54" s="1282"/>
      <c r="H54" s="1292"/>
      <c r="I54" s="1293"/>
      <c r="J54" s="1293"/>
      <c r="K54" s="1293"/>
      <c r="L54" s="1293"/>
      <c r="M54" s="1293"/>
      <c r="N54" s="1293"/>
      <c r="O54" s="1293"/>
      <c r="P54" s="1293"/>
      <c r="Q54" s="1293"/>
      <c r="R54" s="1293"/>
      <c r="S54" s="1293"/>
      <c r="T54" s="1293"/>
      <c r="U54" s="1345"/>
      <c r="V54" s="1285"/>
    </row>
    <row r="55" spans="1:37" ht="42">
      <c r="A55" s="1294"/>
      <c r="B55" s="1295"/>
      <c r="C55" s="1295"/>
      <c r="D55" s="1295"/>
      <c r="E55" s="1296" t="s">
        <v>139</v>
      </c>
      <c r="F55" s="1297">
        <f>F33+F41+F47+F54</f>
        <v>100250</v>
      </c>
      <c r="G55" s="1298"/>
      <c r="H55" s="1299"/>
      <c r="I55" s="1300">
        <f t="shared" ref="I55:T55" si="0">SUM(I8:I53)</f>
        <v>0</v>
      </c>
      <c r="J55" s="1300">
        <f t="shared" si="0"/>
        <v>10800</v>
      </c>
      <c r="K55" s="1300">
        <f t="shared" si="0"/>
        <v>43100</v>
      </c>
      <c r="L55" s="1300">
        <f t="shared" si="0"/>
        <v>13500</v>
      </c>
      <c r="M55" s="1300">
        <f t="shared" si="0"/>
        <v>0</v>
      </c>
      <c r="N55" s="1300">
        <f t="shared" si="0"/>
        <v>6200</v>
      </c>
      <c r="O55" s="1300">
        <f t="shared" si="0"/>
        <v>0</v>
      </c>
      <c r="P55" s="1300">
        <f t="shared" si="0"/>
        <v>0</v>
      </c>
      <c r="Q55" s="1300">
        <f t="shared" si="0"/>
        <v>5000</v>
      </c>
      <c r="R55" s="1300">
        <f t="shared" si="0"/>
        <v>0</v>
      </c>
      <c r="S55" s="1300">
        <f t="shared" si="0"/>
        <v>15450</v>
      </c>
      <c r="T55" s="1300">
        <f t="shared" si="0"/>
        <v>6200</v>
      </c>
      <c r="U55" s="1346"/>
    </row>
  </sheetData>
  <mergeCells count="137">
    <mergeCell ref="U17:U19"/>
    <mergeCell ref="G29:G30"/>
    <mergeCell ref="A24:A30"/>
    <mergeCell ref="D24:D30"/>
    <mergeCell ref="B24:B30"/>
    <mergeCell ref="C24:C30"/>
    <mergeCell ref="D5:D6"/>
    <mergeCell ref="C5:C6"/>
    <mergeCell ref="B5:B6"/>
    <mergeCell ref="A5:A6"/>
    <mergeCell ref="E5:G5"/>
    <mergeCell ref="I5:T5"/>
    <mergeCell ref="U5:U6"/>
    <mergeCell ref="H5:H6"/>
    <mergeCell ref="L43:L46"/>
    <mergeCell ref="L39:L40"/>
    <mergeCell ref="T24:T28"/>
    <mergeCell ref="U43:U47"/>
    <mergeCell ref="M39:M40"/>
    <mergeCell ref="A34:E34"/>
    <mergeCell ref="G51:G52"/>
    <mergeCell ref="H51:H52"/>
    <mergeCell ref="A48:E48"/>
    <mergeCell ref="A49:A50"/>
    <mergeCell ref="B49:B50"/>
    <mergeCell ref="C49:C50"/>
    <mergeCell ref="D49:D50"/>
    <mergeCell ref="G39:G40"/>
    <mergeCell ref="H39:H40"/>
    <mergeCell ref="U49:U53"/>
    <mergeCell ref="A41:D41"/>
    <mergeCell ref="A42:E42"/>
    <mergeCell ref="A43:A47"/>
    <mergeCell ref="B43:B47"/>
    <mergeCell ref="C43:C47"/>
    <mergeCell ref="D43:D47"/>
    <mergeCell ref="G43:G46"/>
    <mergeCell ref="H43:H46"/>
    <mergeCell ref="A51:A54"/>
    <mergeCell ref="D51:D54"/>
    <mergeCell ref="C51:C54"/>
    <mergeCell ref="B51:B54"/>
    <mergeCell ref="I39:I40"/>
    <mergeCell ref="J39:J40"/>
    <mergeCell ref="K39:K40"/>
    <mergeCell ref="U35:U40"/>
    <mergeCell ref="A37:A38"/>
    <mergeCell ref="B37:B38"/>
    <mergeCell ref="C37:C38"/>
    <mergeCell ref="D37:D38"/>
    <mergeCell ref="G37:G38"/>
    <mergeCell ref="A39:A40"/>
    <mergeCell ref="B39:B40"/>
    <mergeCell ref="C39:C40"/>
    <mergeCell ref="D39:D40"/>
    <mergeCell ref="S39:S40"/>
    <mergeCell ref="T39:T40"/>
    <mergeCell ref="N39:N40"/>
    <mergeCell ref="O39:O40"/>
    <mergeCell ref="P39:P40"/>
    <mergeCell ref="Q39:Q40"/>
    <mergeCell ref="R39:R40"/>
    <mergeCell ref="A35:A36"/>
    <mergeCell ref="B35:B36"/>
    <mergeCell ref="C35:C36"/>
    <mergeCell ref="D35:D36"/>
    <mergeCell ref="A20:A23"/>
    <mergeCell ref="B20:B23"/>
    <mergeCell ref="C20:C23"/>
    <mergeCell ref="D20:D23"/>
    <mergeCell ref="G20:G23"/>
    <mergeCell ref="P20:P23"/>
    <mergeCell ref="K24:K28"/>
    <mergeCell ref="J24:J28"/>
    <mergeCell ref="I24:I28"/>
    <mergeCell ref="H24:H28"/>
    <mergeCell ref="G24:G28"/>
    <mergeCell ref="M24:M28"/>
    <mergeCell ref="N24:N28"/>
    <mergeCell ref="O24:O28"/>
    <mergeCell ref="P24:P28"/>
    <mergeCell ref="Q24:Q28"/>
    <mergeCell ref="R24:R28"/>
    <mergeCell ref="S24:S28"/>
    <mergeCell ref="L24:L28"/>
    <mergeCell ref="G35:G36"/>
    <mergeCell ref="T20:T23"/>
    <mergeCell ref="I20:I23"/>
    <mergeCell ref="J20:J23"/>
    <mergeCell ref="K20:K23"/>
    <mergeCell ref="L20:L23"/>
    <mergeCell ref="M20:M23"/>
    <mergeCell ref="N20:N23"/>
    <mergeCell ref="Q20:Q23"/>
    <mergeCell ref="R20:R23"/>
    <mergeCell ref="S20:S23"/>
    <mergeCell ref="U24:U28"/>
    <mergeCell ref="U12:U15"/>
    <mergeCell ref="A18:A19"/>
    <mergeCell ref="B18:B19"/>
    <mergeCell ref="A12:A15"/>
    <mergeCell ref="B12:B15"/>
    <mergeCell ref="C12:C15"/>
    <mergeCell ref="D12:D15"/>
    <mergeCell ref="G12:G14"/>
    <mergeCell ref="H12:H14"/>
    <mergeCell ref="C18:C19"/>
    <mergeCell ref="D18:D19"/>
    <mergeCell ref="G18:G19"/>
    <mergeCell ref="H18:H19"/>
    <mergeCell ref="H20:H23"/>
    <mergeCell ref="U20:U23"/>
    <mergeCell ref="O20:O23"/>
    <mergeCell ref="A1:U1"/>
    <mergeCell ref="A2:U2"/>
    <mergeCell ref="A3:U3"/>
    <mergeCell ref="A4:U4"/>
    <mergeCell ref="A7:E7"/>
    <mergeCell ref="U7:U11"/>
    <mergeCell ref="A8:A11"/>
    <mergeCell ref="B8:B11"/>
    <mergeCell ref="C8:C11"/>
    <mergeCell ref="D8:D11"/>
    <mergeCell ref="G8:G10"/>
    <mergeCell ref="H8:H10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19685039370078741" right="0.19685039370078741" top="0.98425196850393704" bottom="0.39370078740157483" header="0.31496062992125984" footer="0.31496062992125984"/>
  <pageSetup paperSize="9" firstPageNumber="115" orientation="landscape" useFirstPageNumber="1" r:id="rId1"/>
  <headerFooter>
    <oddFooter>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29"/>
  <sheetViews>
    <sheetView view="pageLayout" topLeftCell="A15" zoomScale="80" zoomScaleNormal="100" zoomScaleSheetLayoutView="100" zoomScalePageLayoutView="80" workbookViewId="0">
      <selection activeCell="A26" sqref="A26:XFD27"/>
    </sheetView>
  </sheetViews>
  <sheetFormatPr defaultRowHeight="18.75"/>
  <cols>
    <col min="1" max="1" width="12.875" style="1125" customWidth="1"/>
    <col min="2" max="4" width="11.375" style="1125" customWidth="1"/>
    <col min="5" max="5" width="22.25" style="1125" customWidth="1"/>
    <col min="6" max="6" width="7.75" style="1339" customWidth="1"/>
    <col min="7" max="7" width="3.375" style="1144" customWidth="1"/>
    <col min="8" max="8" width="6.625" style="1125" customWidth="1"/>
    <col min="9" max="10" width="3.125" style="1339" customWidth="1"/>
    <col min="11" max="11" width="3.125" style="1340" customWidth="1"/>
    <col min="12" max="12" width="3.125" style="1339" customWidth="1"/>
    <col min="13" max="13" width="3.125" style="1340" customWidth="1"/>
    <col min="14" max="16" width="3.125" style="1339" customWidth="1"/>
    <col min="17" max="17" width="3.125" style="1340" customWidth="1"/>
    <col min="18" max="18" width="3.125" style="1339" customWidth="1"/>
    <col min="19" max="19" width="3.125" style="1340" customWidth="1"/>
    <col min="20" max="20" width="3.125" style="1339" customWidth="1"/>
    <col min="21" max="21" width="6.125" style="1125" customWidth="1"/>
    <col min="22" max="246" width="9" style="1125"/>
    <col min="247" max="247" width="16.75" style="1125" customWidth="1"/>
    <col min="248" max="248" width="12.75" style="1125" customWidth="1"/>
    <col min="249" max="249" width="11.75" style="1125" customWidth="1"/>
    <col min="250" max="250" width="11.25" style="1125" customWidth="1"/>
    <col min="251" max="251" width="22.25" style="1125" customWidth="1"/>
    <col min="252" max="252" width="10.25" style="1125" customWidth="1"/>
    <col min="253" max="253" width="4.25" style="1125" customWidth="1"/>
    <col min="254" max="254" width="7.875" style="1125" customWidth="1"/>
    <col min="255" max="266" width="4" style="1125" customWidth="1"/>
    <col min="267" max="267" width="12.75" style="1125" customWidth="1"/>
    <col min="268" max="502" width="9" style="1125"/>
    <col min="503" max="503" width="16.75" style="1125" customWidth="1"/>
    <col min="504" max="504" width="12.75" style="1125" customWidth="1"/>
    <col min="505" max="505" width="11.75" style="1125" customWidth="1"/>
    <col min="506" max="506" width="11.25" style="1125" customWidth="1"/>
    <col min="507" max="507" width="22.25" style="1125" customWidth="1"/>
    <col min="508" max="508" width="10.25" style="1125" customWidth="1"/>
    <col min="509" max="509" width="4.25" style="1125" customWidth="1"/>
    <col min="510" max="510" width="7.875" style="1125" customWidth="1"/>
    <col min="511" max="522" width="4" style="1125" customWidth="1"/>
    <col min="523" max="523" width="12.75" style="1125" customWidth="1"/>
    <col min="524" max="758" width="9" style="1125"/>
    <col min="759" max="759" width="16.75" style="1125" customWidth="1"/>
    <col min="760" max="760" width="12.75" style="1125" customWidth="1"/>
    <col min="761" max="761" width="11.75" style="1125" customWidth="1"/>
    <col min="762" max="762" width="11.25" style="1125" customWidth="1"/>
    <col min="763" max="763" width="22.25" style="1125" customWidth="1"/>
    <col min="764" max="764" width="10.25" style="1125" customWidth="1"/>
    <col min="765" max="765" width="4.25" style="1125" customWidth="1"/>
    <col min="766" max="766" width="7.875" style="1125" customWidth="1"/>
    <col min="767" max="778" width="4" style="1125" customWidth="1"/>
    <col min="779" max="779" width="12.75" style="1125" customWidth="1"/>
    <col min="780" max="1014" width="9" style="1125"/>
    <col min="1015" max="1015" width="16.75" style="1125" customWidth="1"/>
    <col min="1016" max="1016" width="12.75" style="1125" customWidth="1"/>
    <col min="1017" max="1017" width="11.75" style="1125" customWidth="1"/>
    <col min="1018" max="1018" width="11.25" style="1125" customWidth="1"/>
    <col min="1019" max="1019" width="22.25" style="1125" customWidth="1"/>
    <col min="1020" max="1020" width="10.25" style="1125" customWidth="1"/>
    <col min="1021" max="1021" width="4.25" style="1125" customWidth="1"/>
    <col min="1022" max="1022" width="7.875" style="1125" customWidth="1"/>
    <col min="1023" max="1034" width="4" style="1125" customWidth="1"/>
    <col min="1035" max="1035" width="12.75" style="1125" customWidth="1"/>
    <col min="1036" max="1270" width="9" style="1125"/>
    <col min="1271" max="1271" width="16.75" style="1125" customWidth="1"/>
    <col min="1272" max="1272" width="12.75" style="1125" customWidth="1"/>
    <col min="1273" max="1273" width="11.75" style="1125" customWidth="1"/>
    <col min="1274" max="1274" width="11.25" style="1125" customWidth="1"/>
    <col min="1275" max="1275" width="22.25" style="1125" customWidth="1"/>
    <col min="1276" max="1276" width="10.25" style="1125" customWidth="1"/>
    <col min="1277" max="1277" width="4.25" style="1125" customWidth="1"/>
    <col min="1278" max="1278" width="7.875" style="1125" customWidth="1"/>
    <col min="1279" max="1290" width="4" style="1125" customWidth="1"/>
    <col min="1291" max="1291" width="12.75" style="1125" customWidth="1"/>
    <col min="1292" max="1526" width="9" style="1125"/>
    <col min="1527" max="1527" width="16.75" style="1125" customWidth="1"/>
    <col min="1528" max="1528" width="12.75" style="1125" customWidth="1"/>
    <col min="1529" max="1529" width="11.75" style="1125" customWidth="1"/>
    <col min="1530" max="1530" width="11.25" style="1125" customWidth="1"/>
    <col min="1531" max="1531" width="22.25" style="1125" customWidth="1"/>
    <col min="1532" max="1532" width="10.25" style="1125" customWidth="1"/>
    <col min="1533" max="1533" width="4.25" style="1125" customWidth="1"/>
    <col min="1534" max="1534" width="7.875" style="1125" customWidth="1"/>
    <col min="1535" max="1546" width="4" style="1125" customWidth="1"/>
    <col min="1547" max="1547" width="12.75" style="1125" customWidth="1"/>
    <col min="1548" max="1782" width="9" style="1125"/>
    <col min="1783" max="1783" width="16.75" style="1125" customWidth="1"/>
    <col min="1784" max="1784" width="12.75" style="1125" customWidth="1"/>
    <col min="1785" max="1785" width="11.75" style="1125" customWidth="1"/>
    <col min="1786" max="1786" width="11.25" style="1125" customWidth="1"/>
    <col min="1787" max="1787" width="22.25" style="1125" customWidth="1"/>
    <col min="1788" max="1788" width="10.25" style="1125" customWidth="1"/>
    <col min="1789" max="1789" width="4.25" style="1125" customWidth="1"/>
    <col min="1790" max="1790" width="7.875" style="1125" customWidth="1"/>
    <col min="1791" max="1802" width="4" style="1125" customWidth="1"/>
    <col min="1803" max="1803" width="12.75" style="1125" customWidth="1"/>
    <col min="1804" max="2038" width="9" style="1125"/>
    <col min="2039" max="2039" width="16.75" style="1125" customWidth="1"/>
    <col min="2040" max="2040" width="12.75" style="1125" customWidth="1"/>
    <col min="2041" max="2041" width="11.75" style="1125" customWidth="1"/>
    <col min="2042" max="2042" width="11.25" style="1125" customWidth="1"/>
    <col min="2043" max="2043" width="22.25" style="1125" customWidth="1"/>
    <col min="2044" max="2044" width="10.25" style="1125" customWidth="1"/>
    <col min="2045" max="2045" width="4.25" style="1125" customWidth="1"/>
    <col min="2046" max="2046" width="7.875" style="1125" customWidth="1"/>
    <col min="2047" max="2058" width="4" style="1125" customWidth="1"/>
    <col min="2059" max="2059" width="12.75" style="1125" customWidth="1"/>
    <col min="2060" max="2294" width="9" style="1125"/>
    <col min="2295" max="2295" width="16.75" style="1125" customWidth="1"/>
    <col min="2296" max="2296" width="12.75" style="1125" customWidth="1"/>
    <col min="2297" max="2297" width="11.75" style="1125" customWidth="1"/>
    <col min="2298" max="2298" width="11.25" style="1125" customWidth="1"/>
    <col min="2299" max="2299" width="22.25" style="1125" customWidth="1"/>
    <col min="2300" max="2300" width="10.25" style="1125" customWidth="1"/>
    <col min="2301" max="2301" width="4.25" style="1125" customWidth="1"/>
    <col min="2302" max="2302" width="7.875" style="1125" customWidth="1"/>
    <col min="2303" max="2314" width="4" style="1125" customWidth="1"/>
    <col min="2315" max="2315" width="12.75" style="1125" customWidth="1"/>
    <col min="2316" max="2550" width="9" style="1125"/>
    <col min="2551" max="2551" width="16.75" style="1125" customWidth="1"/>
    <col min="2552" max="2552" width="12.75" style="1125" customWidth="1"/>
    <col min="2553" max="2553" width="11.75" style="1125" customWidth="1"/>
    <col min="2554" max="2554" width="11.25" style="1125" customWidth="1"/>
    <col min="2555" max="2555" width="22.25" style="1125" customWidth="1"/>
    <col min="2556" max="2556" width="10.25" style="1125" customWidth="1"/>
    <col min="2557" max="2557" width="4.25" style="1125" customWidth="1"/>
    <col min="2558" max="2558" width="7.875" style="1125" customWidth="1"/>
    <col min="2559" max="2570" width="4" style="1125" customWidth="1"/>
    <col min="2571" max="2571" width="12.75" style="1125" customWidth="1"/>
    <col min="2572" max="2806" width="9" style="1125"/>
    <col min="2807" max="2807" width="16.75" style="1125" customWidth="1"/>
    <col min="2808" max="2808" width="12.75" style="1125" customWidth="1"/>
    <col min="2809" max="2809" width="11.75" style="1125" customWidth="1"/>
    <col min="2810" max="2810" width="11.25" style="1125" customWidth="1"/>
    <col min="2811" max="2811" width="22.25" style="1125" customWidth="1"/>
    <col min="2812" max="2812" width="10.25" style="1125" customWidth="1"/>
    <col min="2813" max="2813" width="4.25" style="1125" customWidth="1"/>
    <col min="2814" max="2814" width="7.875" style="1125" customWidth="1"/>
    <col min="2815" max="2826" width="4" style="1125" customWidth="1"/>
    <col min="2827" max="2827" width="12.75" style="1125" customWidth="1"/>
    <col min="2828" max="3062" width="9" style="1125"/>
    <col min="3063" max="3063" width="16.75" style="1125" customWidth="1"/>
    <col min="3064" max="3064" width="12.75" style="1125" customWidth="1"/>
    <col min="3065" max="3065" width="11.75" style="1125" customWidth="1"/>
    <col min="3066" max="3066" width="11.25" style="1125" customWidth="1"/>
    <col min="3067" max="3067" width="22.25" style="1125" customWidth="1"/>
    <col min="3068" max="3068" width="10.25" style="1125" customWidth="1"/>
    <col min="3069" max="3069" width="4.25" style="1125" customWidth="1"/>
    <col min="3070" max="3070" width="7.875" style="1125" customWidth="1"/>
    <col min="3071" max="3082" width="4" style="1125" customWidth="1"/>
    <col min="3083" max="3083" width="12.75" style="1125" customWidth="1"/>
    <col min="3084" max="3318" width="9" style="1125"/>
    <col min="3319" max="3319" width="16.75" style="1125" customWidth="1"/>
    <col min="3320" max="3320" width="12.75" style="1125" customWidth="1"/>
    <col min="3321" max="3321" width="11.75" style="1125" customWidth="1"/>
    <col min="3322" max="3322" width="11.25" style="1125" customWidth="1"/>
    <col min="3323" max="3323" width="22.25" style="1125" customWidth="1"/>
    <col min="3324" max="3324" width="10.25" style="1125" customWidth="1"/>
    <col min="3325" max="3325" width="4.25" style="1125" customWidth="1"/>
    <col min="3326" max="3326" width="7.875" style="1125" customWidth="1"/>
    <col min="3327" max="3338" width="4" style="1125" customWidth="1"/>
    <col min="3339" max="3339" width="12.75" style="1125" customWidth="1"/>
    <col min="3340" max="3574" width="9" style="1125"/>
    <col min="3575" max="3575" width="16.75" style="1125" customWidth="1"/>
    <col min="3576" max="3576" width="12.75" style="1125" customWidth="1"/>
    <col min="3577" max="3577" width="11.75" style="1125" customWidth="1"/>
    <col min="3578" max="3578" width="11.25" style="1125" customWidth="1"/>
    <col min="3579" max="3579" width="22.25" style="1125" customWidth="1"/>
    <col min="3580" max="3580" width="10.25" style="1125" customWidth="1"/>
    <col min="3581" max="3581" width="4.25" style="1125" customWidth="1"/>
    <col min="3582" max="3582" width="7.875" style="1125" customWidth="1"/>
    <col min="3583" max="3594" width="4" style="1125" customWidth="1"/>
    <col min="3595" max="3595" width="12.75" style="1125" customWidth="1"/>
    <col min="3596" max="3830" width="9" style="1125"/>
    <col min="3831" max="3831" width="16.75" style="1125" customWidth="1"/>
    <col min="3832" max="3832" width="12.75" style="1125" customWidth="1"/>
    <col min="3833" max="3833" width="11.75" style="1125" customWidth="1"/>
    <col min="3834" max="3834" width="11.25" style="1125" customWidth="1"/>
    <col min="3835" max="3835" width="22.25" style="1125" customWidth="1"/>
    <col min="3836" max="3836" width="10.25" style="1125" customWidth="1"/>
    <col min="3837" max="3837" width="4.25" style="1125" customWidth="1"/>
    <col min="3838" max="3838" width="7.875" style="1125" customWidth="1"/>
    <col min="3839" max="3850" width="4" style="1125" customWidth="1"/>
    <col min="3851" max="3851" width="12.75" style="1125" customWidth="1"/>
    <col min="3852" max="4086" width="9" style="1125"/>
    <col min="4087" max="4087" width="16.75" style="1125" customWidth="1"/>
    <col min="4088" max="4088" width="12.75" style="1125" customWidth="1"/>
    <col min="4089" max="4089" width="11.75" style="1125" customWidth="1"/>
    <col min="4090" max="4090" width="11.25" style="1125" customWidth="1"/>
    <col min="4091" max="4091" width="22.25" style="1125" customWidth="1"/>
    <col min="4092" max="4092" width="10.25" style="1125" customWidth="1"/>
    <col min="4093" max="4093" width="4.25" style="1125" customWidth="1"/>
    <col min="4094" max="4094" width="7.875" style="1125" customWidth="1"/>
    <col min="4095" max="4106" width="4" style="1125" customWidth="1"/>
    <col min="4107" max="4107" width="12.75" style="1125" customWidth="1"/>
    <col min="4108" max="4342" width="9" style="1125"/>
    <col min="4343" max="4343" width="16.75" style="1125" customWidth="1"/>
    <col min="4344" max="4344" width="12.75" style="1125" customWidth="1"/>
    <col min="4345" max="4345" width="11.75" style="1125" customWidth="1"/>
    <col min="4346" max="4346" width="11.25" style="1125" customWidth="1"/>
    <col min="4347" max="4347" width="22.25" style="1125" customWidth="1"/>
    <col min="4348" max="4348" width="10.25" style="1125" customWidth="1"/>
    <col min="4349" max="4349" width="4.25" style="1125" customWidth="1"/>
    <col min="4350" max="4350" width="7.875" style="1125" customWidth="1"/>
    <col min="4351" max="4362" width="4" style="1125" customWidth="1"/>
    <col min="4363" max="4363" width="12.75" style="1125" customWidth="1"/>
    <col min="4364" max="4598" width="9" style="1125"/>
    <col min="4599" max="4599" width="16.75" style="1125" customWidth="1"/>
    <col min="4600" max="4600" width="12.75" style="1125" customWidth="1"/>
    <col min="4601" max="4601" width="11.75" style="1125" customWidth="1"/>
    <col min="4602" max="4602" width="11.25" style="1125" customWidth="1"/>
    <col min="4603" max="4603" width="22.25" style="1125" customWidth="1"/>
    <col min="4604" max="4604" width="10.25" style="1125" customWidth="1"/>
    <col min="4605" max="4605" width="4.25" style="1125" customWidth="1"/>
    <col min="4606" max="4606" width="7.875" style="1125" customWidth="1"/>
    <col min="4607" max="4618" width="4" style="1125" customWidth="1"/>
    <col min="4619" max="4619" width="12.75" style="1125" customWidth="1"/>
    <col min="4620" max="4854" width="9" style="1125"/>
    <col min="4855" max="4855" width="16.75" style="1125" customWidth="1"/>
    <col min="4856" max="4856" width="12.75" style="1125" customWidth="1"/>
    <col min="4857" max="4857" width="11.75" style="1125" customWidth="1"/>
    <col min="4858" max="4858" width="11.25" style="1125" customWidth="1"/>
    <col min="4859" max="4859" width="22.25" style="1125" customWidth="1"/>
    <col min="4860" max="4860" width="10.25" style="1125" customWidth="1"/>
    <col min="4861" max="4861" width="4.25" style="1125" customWidth="1"/>
    <col min="4862" max="4862" width="7.875" style="1125" customWidth="1"/>
    <col min="4863" max="4874" width="4" style="1125" customWidth="1"/>
    <col min="4875" max="4875" width="12.75" style="1125" customWidth="1"/>
    <col min="4876" max="5110" width="9" style="1125"/>
    <col min="5111" max="5111" width="16.75" style="1125" customWidth="1"/>
    <col min="5112" max="5112" width="12.75" style="1125" customWidth="1"/>
    <col min="5113" max="5113" width="11.75" style="1125" customWidth="1"/>
    <col min="5114" max="5114" width="11.25" style="1125" customWidth="1"/>
    <col min="5115" max="5115" width="22.25" style="1125" customWidth="1"/>
    <col min="5116" max="5116" width="10.25" style="1125" customWidth="1"/>
    <col min="5117" max="5117" width="4.25" style="1125" customWidth="1"/>
    <col min="5118" max="5118" width="7.875" style="1125" customWidth="1"/>
    <col min="5119" max="5130" width="4" style="1125" customWidth="1"/>
    <col min="5131" max="5131" width="12.75" style="1125" customWidth="1"/>
    <col min="5132" max="5366" width="9" style="1125"/>
    <col min="5367" max="5367" width="16.75" style="1125" customWidth="1"/>
    <col min="5368" max="5368" width="12.75" style="1125" customWidth="1"/>
    <col min="5369" max="5369" width="11.75" style="1125" customWidth="1"/>
    <col min="5370" max="5370" width="11.25" style="1125" customWidth="1"/>
    <col min="5371" max="5371" width="22.25" style="1125" customWidth="1"/>
    <col min="5372" max="5372" width="10.25" style="1125" customWidth="1"/>
    <col min="5373" max="5373" width="4.25" style="1125" customWidth="1"/>
    <col min="5374" max="5374" width="7.875" style="1125" customWidth="1"/>
    <col min="5375" max="5386" width="4" style="1125" customWidth="1"/>
    <col min="5387" max="5387" width="12.75" style="1125" customWidth="1"/>
    <col min="5388" max="5622" width="9" style="1125"/>
    <col min="5623" max="5623" width="16.75" style="1125" customWidth="1"/>
    <col min="5624" max="5624" width="12.75" style="1125" customWidth="1"/>
    <col min="5625" max="5625" width="11.75" style="1125" customWidth="1"/>
    <col min="5626" max="5626" width="11.25" style="1125" customWidth="1"/>
    <col min="5627" max="5627" width="22.25" style="1125" customWidth="1"/>
    <col min="5628" max="5628" width="10.25" style="1125" customWidth="1"/>
    <col min="5629" max="5629" width="4.25" style="1125" customWidth="1"/>
    <col min="5630" max="5630" width="7.875" style="1125" customWidth="1"/>
    <col min="5631" max="5642" width="4" style="1125" customWidth="1"/>
    <col min="5643" max="5643" width="12.75" style="1125" customWidth="1"/>
    <col min="5644" max="5878" width="9" style="1125"/>
    <col min="5879" max="5879" width="16.75" style="1125" customWidth="1"/>
    <col min="5880" max="5880" width="12.75" style="1125" customWidth="1"/>
    <col min="5881" max="5881" width="11.75" style="1125" customWidth="1"/>
    <col min="5882" max="5882" width="11.25" style="1125" customWidth="1"/>
    <col min="5883" max="5883" width="22.25" style="1125" customWidth="1"/>
    <col min="5884" max="5884" width="10.25" style="1125" customWidth="1"/>
    <col min="5885" max="5885" width="4.25" style="1125" customWidth="1"/>
    <col min="5886" max="5886" width="7.875" style="1125" customWidth="1"/>
    <col min="5887" max="5898" width="4" style="1125" customWidth="1"/>
    <col min="5899" max="5899" width="12.75" style="1125" customWidth="1"/>
    <col min="5900" max="6134" width="9" style="1125"/>
    <col min="6135" max="6135" width="16.75" style="1125" customWidth="1"/>
    <col min="6136" max="6136" width="12.75" style="1125" customWidth="1"/>
    <col min="6137" max="6137" width="11.75" style="1125" customWidth="1"/>
    <col min="6138" max="6138" width="11.25" style="1125" customWidth="1"/>
    <col min="6139" max="6139" width="22.25" style="1125" customWidth="1"/>
    <col min="6140" max="6140" width="10.25" style="1125" customWidth="1"/>
    <col min="6141" max="6141" width="4.25" style="1125" customWidth="1"/>
    <col min="6142" max="6142" width="7.875" style="1125" customWidth="1"/>
    <col min="6143" max="6154" width="4" style="1125" customWidth="1"/>
    <col min="6155" max="6155" width="12.75" style="1125" customWidth="1"/>
    <col min="6156" max="6390" width="9" style="1125"/>
    <col min="6391" max="6391" width="16.75" style="1125" customWidth="1"/>
    <col min="6392" max="6392" width="12.75" style="1125" customWidth="1"/>
    <col min="6393" max="6393" width="11.75" style="1125" customWidth="1"/>
    <col min="6394" max="6394" width="11.25" style="1125" customWidth="1"/>
    <col min="6395" max="6395" width="22.25" style="1125" customWidth="1"/>
    <col min="6396" max="6396" width="10.25" style="1125" customWidth="1"/>
    <col min="6397" max="6397" width="4.25" style="1125" customWidth="1"/>
    <col min="6398" max="6398" width="7.875" style="1125" customWidth="1"/>
    <col min="6399" max="6410" width="4" style="1125" customWidth="1"/>
    <col min="6411" max="6411" width="12.75" style="1125" customWidth="1"/>
    <col min="6412" max="6646" width="9" style="1125"/>
    <col min="6647" max="6647" width="16.75" style="1125" customWidth="1"/>
    <col min="6648" max="6648" width="12.75" style="1125" customWidth="1"/>
    <col min="6649" max="6649" width="11.75" style="1125" customWidth="1"/>
    <col min="6650" max="6650" width="11.25" style="1125" customWidth="1"/>
    <col min="6651" max="6651" width="22.25" style="1125" customWidth="1"/>
    <col min="6652" max="6652" width="10.25" style="1125" customWidth="1"/>
    <col min="6653" max="6653" width="4.25" style="1125" customWidth="1"/>
    <col min="6654" max="6654" width="7.875" style="1125" customWidth="1"/>
    <col min="6655" max="6666" width="4" style="1125" customWidth="1"/>
    <col min="6667" max="6667" width="12.75" style="1125" customWidth="1"/>
    <col min="6668" max="6902" width="9" style="1125"/>
    <col min="6903" max="6903" width="16.75" style="1125" customWidth="1"/>
    <col min="6904" max="6904" width="12.75" style="1125" customWidth="1"/>
    <col min="6905" max="6905" width="11.75" style="1125" customWidth="1"/>
    <col min="6906" max="6906" width="11.25" style="1125" customWidth="1"/>
    <col min="6907" max="6907" width="22.25" style="1125" customWidth="1"/>
    <col min="6908" max="6908" width="10.25" style="1125" customWidth="1"/>
    <col min="6909" max="6909" width="4.25" style="1125" customWidth="1"/>
    <col min="6910" max="6910" width="7.875" style="1125" customWidth="1"/>
    <col min="6911" max="6922" width="4" style="1125" customWidth="1"/>
    <col min="6923" max="6923" width="12.75" style="1125" customWidth="1"/>
    <col min="6924" max="7158" width="9" style="1125"/>
    <col min="7159" max="7159" width="16.75" style="1125" customWidth="1"/>
    <col min="7160" max="7160" width="12.75" style="1125" customWidth="1"/>
    <col min="7161" max="7161" width="11.75" style="1125" customWidth="1"/>
    <col min="7162" max="7162" width="11.25" style="1125" customWidth="1"/>
    <col min="7163" max="7163" width="22.25" style="1125" customWidth="1"/>
    <col min="7164" max="7164" width="10.25" style="1125" customWidth="1"/>
    <col min="7165" max="7165" width="4.25" style="1125" customWidth="1"/>
    <col min="7166" max="7166" width="7.875" style="1125" customWidth="1"/>
    <col min="7167" max="7178" width="4" style="1125" customWidth="1"/>
    <col min="7179" max="7179" width="12.75" style="1125" customWidth="1"/>
    <col min="7180" max="7414" width="9" style="1125"/>
    <col min="7415" max="7415" width="16.75" style="1125" customWidth="1"/>
    <col min="7416" max="7416" width="12.75" style="1125" customWidth="1"/>
    <col min="7417" max="7417" width="11.75" style="1125" customWidth="1"/>
    <col min="7418" max="7418" width="11.25" style="1125" customWidth="1"/>
    <col min="7419" max="7419" width="22.25" style="1125" customWidth="1"/>
    <col min="7420" max="7420" width="10.25" style="1125" customWidth="1"/>
    <col min="7421" max="7421" width="4.25" style="1125" customWidth="1"/>
    <col min="7422" max="7422" width="7.875" style="1125" customWidth="1"/>
    <col min="7423" max="7434" width="4" style="1125" customWidth="1"/>
    <col min="7435" max="7435" width="12.75" style="1125" customWidth="1"/>
    <col min="7436" max="7670" width="9" style="1125"/>
    <col min="7671" max="7671" width="16.75" style="1125" customWidth="1"/>
    <col min="7672" max="7672" width="12.75" style="1125" customWidth="1"/>
    <col min="7673" max="7673" width="11.75" style="1125" customWidth="1"/>
    <col min="7674" max="7674" width="11.25" style="1125" customWidth="1"/>
    <col min="7675" max="7675" width="22.25" style="1125" customWidth="1"/>
    <col min="7676" max="7676" width="10.25" style="1125" customWidth="1"/>
    <col min="7677" max="7677" width="4.25" style="1125" customWidth="1"/>
    <col min="7678" max="7678" width="7.875" style="1125" customWidth="1"/>
    <col min="7679" max="7690" width="4" style="1125" customWidth="1"/>
    <col min="7691" max="7691" width="12.75" style="1125" customWidth="1"/>
    <col min="7692" max="7926" width="9" style="1125"/>
    <col min="7927" max="7927" width="16.75" style="1125" customWidth="1"/>
    <col min="7928" max="7928" width="12.75" style="1125" customWidth="1"/>
    <col min="7929" max="7929" width="11.75" style="1125" customWidth="1"/>
    <col min="7930" max="7930" width="11.25" style="1125" customWidth="1"/>
    <col min="7931" max="7931" width="22.25" style="1125" customWidth="1"/>
    <col min="7932" max="7932" width="10.25" style="1125" customWidth="1"/>
    <col min="7933" max="7933" width="4.25" style="1125" customWidth="1"/>
    <col min="7934" max="7934" width="7.875" style="1125" customWidth="1"/>
    <col min="7935" max="7946" width="4" style="1125" customWidth="1"/>
    <col min="7947" max="7947" width="12.75" style="1125" customWidth="1"/>
    <col min="7948" max="8182" width="9" style="1125"/>
    <col min="8183" max="8183" width="16.75" style="1125" customWidth="1"/>
    <col min="8184" max="8184" width="12.75" style="1125" customWidth="1"/>
    <col min="8185" max="8185" width="11.75" style="1125" customWidth="1"/>
    <col min="8186" max="8186" width="11.25" style="1125" customWidth="1"/>
    <col min="8187" max="8187" width="22.25" style="1125" customWidth="1"/>
    <col min="8188" max="8188" width="10.25" style="1125" customWidth="1"/>
    <col min="8189" max="8189" width="4.25" style="1125" customWidth="1"/>
    <col min="8190" max="8190" width="7.875" style="1125" customWidth="1"/>
    <col min="8191" max="8202" width="4" style="1125" customWidth="1"/>
    <col min="8203" max="8203" width="12.75" style="1125" customWidth="1"/>
    <col min="8204" max="8438" width="9" style="1125"/>
    <col min="8439" max="8439" width="16.75" style="1125" customWidth="1"/>
    <col min="8440" max="8440" width="12.75" style="1125" customWidth="1"/>
    <col min="8441" max="8441" width="11.75" style="1125" customWidth="1"/>
    <col min="8442" max="8442" width="11.25" style="1125" customWidth="1"/>
    <col min="8443" max="8443" width="22.25" style="1125" customWidth="1"/>
    <col min="8444" max="8444" width="10.25" style="1125" customWidth="1"/>
    <col min="8445" max="8445" width="4.25" style="1125" customWidth="1"/>
    <col min="8446" max="8446" width="7.875" style="1125" customWidth="1"/>
    <col min="8447" max="8458" width="4" style="1125" customWidth="1"/>
    <col min="8459" max="8459" width="12.75" style="1125" customWidth="1"/>
    <col min="8460" max="8694" width="9" style="1125"/>
    <col min="8695" max="8695" width="16.75" style="1125" customWidth="1"/>
    <col min="8696" max="8696" width="12.75" style="1125" customWidth="1"/>
    <col min="8697" max="8697" width="11.75" style="1125" customWidth="1"/>
    <col min="8698" max="8698" width="11.25" style="1125" customWidth="1"/>
    <col min="8699" max="8699" width="22.25" style="1125" customWidth="1"/>
    <col min="8700" max="8700" width="10.25" style="1125" customWidth="1"/>
    <col min="8701" max="8701" width="4.25" style="1125" customWidth="1"/>
    <col min="8702" max="8702" width="7.875" style="1125" customWidth="1"/>
    <col min="8703" max="8714" width="4" style="1125" customWidth="1"/>
    <col min="8715" max="8715" width="12.75" style="1125" customWidth="1"/>
    <col min="8716" max="8950" width="9" style="1125"/>
    <col min="8951" max="8951" width="16.75" style="1125" customWidth="1"/>
    <col min="8952" max="8952" width="12.75" style="1125" customWidth="1"/>
    <col min="8953" max="8953" width="11.75" style="1125" customWidth="1"/>
    <col min="8954" max="8954" width="11.25" style="1125" customWidth="1"/>
    <col min="8955" max="8955" width="22.25" style="1125" customWidth="1"/>
    <col min="8956" max="8956" width="10.25" style="1125" customWidth="1"/>
    <col min="8957" max="8957" width="4.25" style="1125" customWidth="1"/>
    <col min="8958" max="8958" width="7.875" style="1125" customWidth="1"/>
    <col min="8959" max="8970" width="4" style="1125" customWidth="1"/>
    <col min="8971" max="8971" width="12.75" style="1125" customWidth="1"/>
    <col min="8972" max="9206" width="9" style="1125"/>
    <col min="9207" max="9207" width="16.75" style="1125" customWidth="1"/>
    <col min="9208" max="9208" width="12.75" style="1125" customWidth="1"/>
    <col min="9209" max="9209" width="11.75" style="1125" customWidth="1"/>
    <col min="9210" max="9210" width="11.25" style="1125" customWidth="1"/>
    <col min="9211" max="9211" width="22.25" style="1125" customWidth="1"/>
    <col min="9212" max="9212" width="10.25" style="1125" customWidth="1"/>
    <col min="9213" max="9213" width="4.25" style="1125" customWidth="1"/>
    <col min="9214" max="9214" width="7.875" style="1125" customWidth="1"/>
    <col min="9215" max="9226" width="4" style="1125" customWidth="1"/>
    <col min="9227" max="9227" width="12.75" style="1125" customWidth="1"/>
    <col min="9228" max="9462" width="9" style="1125"/>
    <col min="9463" max="9463" width="16.75" style="1125" customWidth="1"/>
    <col min="9464" max="9464" width="12.75" style="1125" customWidth="1"/>
    <col min="9465" max="9465" width="11.75" style="1125" customWidth="1"/>
    <col min="9466" max="9466" width="11.25" style="1125" customWidth="1"/>
    <col min="9467" max="9467" width="22.25" style="1125" customWidth="1"/>
    <col min="9468" max="9468" width="10.25" style="1125" customWidth="1"/>
    <col min="9469" max="9469" width="4.25" style="1125" customWidth="1"/>
    <col min="9470" max="9470" width="7.875" style="1125" customWidth="1"/>
    <col min="9471" max="9482" width="4" style="1125" customWidth="1"/>
    <col min="9483" max="9483" width="12.75" style="1125" customWidth="1"/>
    <col min="9484" max="9718" width="9" style="1125"/>
    <col min="9719" max="9719" width="16.75" style="1125" customWidth="1"/>
    <col min="9720" max="9720" width="12.75" style="1125" customWidth="1"/>
    <col min="9721" max="9721" width="11.75" style="1125" customWidth="1"/>
    <col min="9722" max="9722" width="11.25" style="1125" customWidth="1"/>
    <col min="9723" max="9723" width="22.25" style="1125" customWidth="1"/>
    <col min="9724" max="9724" width="10.25" style="1125" customWidth="1"/>
    <col min="9725" max="9725" width="4.25" style="1125" customWidth="1"/>
    <col min="9726" max="9726" width="7.875" style="1125" customWidth="1"/>
    <col min="9727" max="9738" width="4" style="1125" customWidth="1"/>
    <col min="9739" max="9739" width="12.75" style="1125" customWidth="1"/>
    <col min="9740" max="9974" width="9" style="1125"/>
    <col min="9975" max="9975" width="16.75" style="1125" customWidth="1"/>
    <col min="9976" max="9976" width="12.75" style="1125" customWidth="1"/>
    <col min="9977" max="9977" width="11.75" style="1125" customWidth="1"/>
    <col min="9978" max="9978" width="11.25" style="1125" customWidth="1"/>
    <col min="9979" max="9979" width="22.25" style="1125" customWidth="1"/>
    <col min="9980" max="9980" width="10.25" style="1125" customWidth="1"/>
    <col min="9981" max="9981" width="4.25" style="1125" customWidth="1"/>
    <col min="9982" max="9982" width="7.875" style="1125" customWidth="1"/>
    <col min="9983" max="9994" width="4" style="1125" customWidth="1"/>
    <col min="9995" max="9995" width="12.75" style="1125" customWidth="1"/>
    <col min="9996" max="10230" width="9" style="1125"/>
    <col min="10231" max="10231" width="16.75" style="1125" customWidth="1"/>
    <col min="10232" max="10232" width="12.75" style="1125" customWidth="1"/>
    <col min="10233" max="10233" width="11.75" style="1125" customWidth="1"/>
    <col min="10234" max="10234" width="11.25" style="1125" customWidth="1"/>
    <col min="10235" max="10235" width="22.25" style="1125" customWidth="1"/>
    <col min="10236" max="10236" width="10.25" style="1125" customWidth="1"/>
    <col min="10237" max="10237" width="4.25" style="1125" customWidth="1"/>
    <col min="10238" max="10238" width="7.875" style="1125" customWidth="1"/>
    <col min="10239" max="10250" width="4" style="1125" customWidth="1"/>
    <col min="10251" max="10251" width="12.75" style="1125" customWidth="1"/>
    <col min="10252" max="10486" width="9" style="1125"/>
    <col min="10487" max="10487" width="16.75" style="1125" customWidth="1"/>
    <col min="10488" max="10488" width="12.75" style="1125" customWidth="1"/>
    <col min="10489" max="10489" width="11.75" style="1125" customWidth="1"/>
    <col min="10490" max="10490" width="11.25" style="1125" customWidth="1"/>
    <col min="10491" max="10491" width="22.25" style="1125" customWidth="1"/>
    <col min="10492" max="10492" width="10.25" style="1125" customWidth="1"/>
    <col min="10493" max="10493" width="4.25" style="1125" customWidth="1"/>
    <col min="10494" max="10494" width="7.875" style="1125" customWidth="1"/>
    <col min="10495" max="10506" width="4" style="1125" customWidth="1"/>
    <col min="10507" max="10507" width="12.75" style="1125" customWidth="1"/>
    <col min="10508" max="10742" width="9" style="1125"/>
    <col min="10743" max="10743" width="16.75" style="1125" customWidth="1"/>
    <col min="10744" max="10744" width="12.75" style="1125" customWidth="1"/>
    <col min="10745" max="10745" width="11.75" style="1125" customWidth="1"/>
    <col min="10746" max="10746" width="11.25" style="1125" customWidth="1"/>
    <col min="10747" max="10747" width="22.25" style="1125" customWidth="1"/>
    <col min="10748" max="10748" width="10.25" style="1125" customWidth="1"/>
    <col min="10749" max="10749" width="4.25" style="1125" customWidth="1"/>
    <col min="10750" max="10750" width="7.875" style="1125" customWidth="1"/>
    <col min="10751" max="10762" width="4" style="1125" customWidth="1"/>
    <col min="10763" max="10763" width="12.75" style="1125" customWidth="1"/>
    <col min="10764" max="10998" width="9" style="1125"/>
    <col min="10999" max="10999" width="16.75" style="1125" customWidth="1"/>
    <col min="11000" max="11000" width="12.75" style="1125" customWidth="1"/>
    <col min="11001" max="11001" width="11.75" style="1125" customWidth="1"/>
    <col min="11002" max="11002" width="11.25" style="1125" customWidth="1"/>
    <col min="11003" max="11003" width="22.25" style="1125" customWidth="1"/>
    <col min="11004" max="11004" width="10.25" style="1125" customWidth="1"/>
    <col min="11005" max="11005" width="4.25" style="1125" customWidth="1"/>
    <col min="11006" max="11006" width="7.875" style="1125" customWidth="1"/>
    <col min="11007" max="11018" width="4" style="1125" customWidth="1"/>
    <col min="11019" max="11019" width="12.75" style="1125" customWidth="1"/>
    <col min="11020" max="11254" width="9" style="1125"/>
    <col min="11255" max="11255" width="16.75" style="1125" customWidth="1"/>
    <col min="11256" max="11256" width="12.75" style="1125" customWidth="1"/>
    <col min="11257" max="11257" width="11.75" style="1125" customWidth="1"/>
    <col min="11258" max="11258" width="11.25" style="1125" customWidth="1"/>
    <col min="11259" max="11259" width="22.25" style="1125" customWidth="1"/>
    <col min="11260" max="11260" width="10.25" style="1125" customWidth="1"/>
    <col min="11261" max="11261" width="4.25" style="1125" customWidth="1"/>
    <col min="11262" max="11262" width="7.875" style="1125" customWidth="1"/>
    <col min="11263" max="11274" width="4" style="1125" customWidth="1"/>
    <col min="11275" max="11275" width="12.75" style="1125" customWidth="1"/>
    <col min="11276" max="11510" width="9" style="1125"/>
    <col min="11511" max="11511" width="16.75" style="1125" customWidth="1"/>
    <col min="11512" max="11512" width="12.75" style="1125" customWidth="1"/>
    <col min="11513" max="11513" width="11.75" style="1125" customWidth="1"/>
    <col min="11514" max="11514" width="11.25" style="1125" customWidth="1"/>
    <col min="11515" max="11515" width="22.25" style="1125" customWidth="1"/>
    <col min="11516" max="11516" width="10.25" style="1125" customWidth="1"/>
    <col min="11517" max="11517" width="4.25" style="1125" customWidth="1"/>
    <col min="11518" max="11518" width="7.875" style="1125" customWidth="1"/>
    <col min="11519" max="11530" width="4" style="1125" customWidth="1"/>
    <col min="11531" max="11531" width="12.75" style="1125" customWidth="1"/>
    <col min="11532" max="11766" width="9" style="1125"/>
    <col min="11767" max="11767" width="16.75" style="1125" customWidth="1"/>
    <col min="11768" max="11768" width="12.75" style="1125" customWidth="1"/>
    <col min="11769" max="11769" width="11.75" style="1125" customWidth="1"/>
    <col min="11770" max="11770" width="11.25" style="1125" customWidth="1"/>
    <col min="11771" max="11771" width="22.25" style="1125" customWidth="1"/>
    <col min="11772" max="11772" width="10.25" style="1125" customWidth="1"/>
    <col min="11773" max="11773" width="4.25" style="1125" customWidth="1"/>
    <col min="11774" max="11774" width="7.875" style="1125" customWidth="1"/>
    <col min="11775" max="11786" width="4" style="1125" customWidth="1"/>
    <col min="11787" max="11787" width="12.75" style="1125" customWidth="1"/>
    <col min="11788" max="12022" width="9" style="1125"/>
    <col min="12023" max="12023" width="16.75" style="1125" customWidth="1"/>
    <col min="12024" max="12024" width="12.75" style="1125" customWidth="1"/>
    <col min="12025" max="12025" width="11.75" style="1125" customWidth="1"/>
    <col min="12026" max="12026" width="11.25" style="1125" customWidth="1"/>
    <col min="12027" max="12027" width="22.25" style="1125" customWidth="1"/>
    <col min="12028" max="12028" width="10.25" style="1125" customWidth="1"/>
    <col min="12029" max="12029" width="4.25" style="1125" customWidth="1"/>
    <col min="12030" max="12030" width="7.875" style="1125" customWidth="1"/>
    <col min="12031" max="12042" width="4" style="1125" customWidth="1"/>
    <col min="12043" max="12043" width="12.75" style="1125" customWidth="1"/>
    <col min="12044" max="12278" width="9" style="1125"/>
    <col min="12279" max="12279" width="16.75" style="1125" customWidth="1"/>
    <col min="12280" max="12280" width="12.75" style="1125" customWidth="1"/>
    <col min="12281" max="12281" width="11.75" style="1125" customWidth="1"/>
    <col min="12282" max="12282" width="11.25" style="1125" customWidth="1"/>
    <col min="12283" max="12283" width="22.25" style="1125" customWidth="1"/>
    <col min="12284" max="12284" width="10.25" style="1125" customWidth="1"/>
    <col min="12285" max="12285" width="4.25" style="1125" customWidth="1"/>
    <col min="12286" max="12286" width="7.875" style="1125" customWidth="1"/>
    <col min="12287" max="12298" width="4" style="1125" customWidth="1"/>
    <col min="12299" max="12299" width="12.75" style="1125" customWidth="1"/>
    <col min="12300" max="12534" width="9" style="1125"/>
    <col min="12535" max="12535" width="16.75" style="1125" customWidth="1"/>
    <col min="12536" max="12536" width="12.75" style="1125" customWidth="1"/>
    <col min="12537" max="12537" width="11.75" style="1125" customWidth="1"/>
    <col min="12538" max="12538" width="11.25" style="1125" customWidth="1"/>
    <col min="12539" max="12539" width="22.25" style="1125" customWidth="1"/>
    <col min="12540" max="12540" width="10.25" style="1125" customWidth="1"/>
    <col min="12541" max="12541" width="4.25" style="1125" customWidth="1"/>
    <col min="12542" max="12542" width="7.875" style="1125" customWidth="1"/>
    <col min="12543" max="12554" width="4" style="1125" customWidth="1"/>
    <col min="12555" max="12555" width="12.75" style="1125" customWidth="1"/>
    <col min="12556" max="12790" width="9" style="1125"/>
    <col min="12791" max="12791" width="16.75" style="1125" customWidth="1"/>
    <col min="12792" max="12792" width="12.75" style="1125" customWidth="1"/>
    <col min="12793" max="12793" width="11.75" style="1125" customWidth="1"/>
    <col min="12794" max="12794" width="11.25" style="1125" customWidth="1"/>
    <col min="12795" max="12795" width="22.25" style="1125" customWidth="1"/>
    <col min="12796" max="12796" width="10.25" style="1125" customWidth="1"/>
    <col min="12797" max="12797" width="4.25" style="1125" customWidth="1"/>
    <col min="12798" max="12798" width="7.875" style="1125" customWidth="1"/>
    <col min="12799" max="12810" width="4" style="1125" customWidth="1"/>
    <col min="12811" max="12811" width="12.75" style="1125" customWidth="1"/>
    <col min="12812" max="13046" width="9" style="1125"/>
    <col min="13047" max="13047" width="16.75" style="1125" customWidth="1"/>
    <col min="13048" max="13048" width="12.75" style="1125" customWidth="1"/>
    <col min="13049" max="13049" width="11.75" style="1125" customWidth="1"/>
    <col min="13050" max="13050" width="11.25" style="1125" customWidth="1"/>
    <col min="13051" max="13051" width="22.25" style="1125" customWidth="1"/>
    <col min="13052" max="13052" width="10.25" style="1125" customWidth="1"/>
    <col min="13053" max="13053" width="4.25" style="1125" customWidth="1"/>
    <col min="13054" max="13054" width="7.875" style="1125" customWidth="1"/>
    <col min="13055" max="13066" width="4" style="1125" customWidth="1"/>
    <col min="13067" max="13067" width="12.75" style="1125" customWidth="1"/>
    <col min="13068" max="13302" width="9" style="1125"/>
    <col min="13303" max="13303" width="16.75" style="1125" customWidth="1"/>
    <col min="13304" max="13304" width="12.75" style="1125" customWidth="1"/>
    <col min="13305" max="13305" width="11.75" style="1125" customWidth="1"/>
    <col min="13306" max="13306" width="11.25" style="1125" customWidth="1"/>
    <col min="13307" max="13307" width="22.25" style="1125" customWidth="1"/>
    <col min="13308" max="13308" width="10.25" style="1125" customWidth="1"/>
    <col min="13309" max="13309" width="4.25" style="1125" customWidth="1"/>
    <col min="13310" max="13310" width="7.875" style="1125" customWidth="1"/>
    <col min="13311" max="13322" width="4" style="1125" customWidth="1"/>
    <col min="13323" max="13323" width="12.75" style="1125" customWidth="1"/>
    <col min="13324" max="13558" width="9" style="1125"/>
    <col min="13559" max="13559" width="16.75" style="1125" customWidth="1"/>
    <col min="13560" max="13560" width="12.75" style="1125" customWidth="1"/>
    <col min="13561" max="13561" width="11.75" style="1125" customWidth="1"/>
    <col min="13562" max="13562" width="11.25" style="1125" customWidth="1"/>
    <col min="13563" max="13563" width="22.25" style="1125" customWidth="1"/>
    <col min="13564" max="13564" width="10.25" style="1125" customWidth="1"/>
    <col min="13565" max="13565" width="4.25" style="1125" customWidth="1"/>
    <col min="13566" max="13566" width="7.875" style="1125" customWidth="1"/>
    <col min="13567" max="13578" width="4" style="1125" customWidth="1"/>
    <col min="13579" max="13579" width="12.75" style="1125" customWidth="1"/>
    <col min="13580" max="13814" width="9" style="1125"/>
    <col min="13815" max="13815" width="16.75" style="1125" customWidth="1"/>
    <col min="13816" max="13816" width="12.75" style="1125" customWidth="1"/>
    <col min="13817" max="13817" width="11.75" style="1125" customWidth="1"/>
    <col min="13818" max="13818" width="11.25" style="1125" customWidth="1"/>
    <col min="13819" max="13819" width="22.25" style="1125" customWidth="1"/>
    <col min="13820" max="13820" width="10.25" style="1125" customWidth="1"/>
    <col min="13821" max="13821" width="4.25" style="1125" customWidth="1"/>
    <col min="13822" max="13822" width="7.875" style="1125" customWidth="1"/>
    <col min="13823" max="13834" width="4" style="1125" customWidth="1"/>
    <col min="13835" max="13835" width="12.75" style="1125" customWidth="1"/>
    <col min="13836" max="14070" width="9" style="1125"/>
    <col min="14071" max="14071" width="16.75" style="1125" customWidth="1"/>
    <col min="14072" max="14072" width="12.75" style="1125" customWidth="1"/>
    <col min="14073" max="14073" width="11.75" style="1125" customWidth="1"/>
    <col min="14074" max="14074" width="11.25" style="1125" customWidth="1"/>
    <col min="14075" max="14075" width="22.25" style="1125" customWidth="1"/>
    <col min="14076" max="14076" width="10.25" style="1125" customWidth="1"/>
    <col min="14077" max="14077" width="4.25" style="1125" customWidth="1"/>
    <col min="14078" max="14078" width="7.875" style="1125" customWidth="1"/>
    <col min="14079" max="14090" width="4" style="1125" customWidth="1"/>
    <col min="14091" max="14091" width="12.75" style="1125" customWidth="1"/>
    <col min="14092" max="14326" width="9" style="1125"/>
    <col min="14327" max="14327" width="16.75" style="1125" customWidth="1"/>
    <col min="14328" max="14328" width="12.75" style="1125" customWidth="1"/>
    <col min="14329" max="14329" width="11.75" style="1125" customWidth="1"/>
    <col min="14330" max="14330" width="11.25" style="1125" customWidth="1"/>
    <col min="14331" max="14331" width="22.25" style="1125" customWidth="1"/>
    <col min="14332" max="14332" width="10.25" style="1125" customWidth="1"/>
    <col min="14333" max="14333" width="4.25" style="1125" customWidth="1"/>
    <col min="14334" max="14334" width="7.875" style="1125" customWidth="1"/>
    <col min="14335" max="14346" width="4" style="1125" customWidth="1"/>
    <col min="14347" max="14347" width="12.75" style="1125" customWidth="1"/>
    <col min="14348" max="14582" width="9" style="1125"/>
    <col min="14583" max="14583" width="16.75" style="1125" customWidth="1"/>
    <col min="14584" max="14584" width="12.75" style="1125" customWidth="1"/>
    <col min="14585" max="14585" width="11.75" style="1125" customWidth="1"/>
    <col min="14586" max="14586" width="11.25" style="1125" customWidth="1"/>
    <col min="14587" max="14587" width="22.25" style="1125" customWidth="1"/>
    <col min="14588" max="14588" width="10.25" style="1125" customWidth="1"/>
    <col min="14589" max="14589" width="4.25" style="1125" customWidth="1"/>
    <col min="14590" max="14590" width="7.875" style="1125" customWidth="1"/>
    <col min="14591" max="14602" width="4" style="1125" customWidth="1"/>
    <col min="14603" max="14603" width="12.75" style="1125" customWidth="1"/>
    <col min="14604" max="14838" width="9" style="1125"/>
    <col min="14839" max="14839" width="16.75" style="1125" customWidth="1"/>
    <col min="14840" max="14840" width="12.75" style="1125" customWidth="1"/>
    <col min="14841" max="14841" width="11.75" style="1125" customWidth="1"/>
    <col min="14842" max="14842" width="11.25" style="1125" customWidth="1"/>
    <col min="14843" max="14843" width="22.25" style="1125" customWidth="1"/>
    <col min="14844" max="14844" width="10.25" style="1125" customWidth="1"/>
    <col min="14845" max="14845" width="4.25" style="1125" customWidth="1"/>
    <col min="14846" max="14846" width="7.875" style="1125" customWidth="1"/>
    <col min="14847" max="14858" width="4" style="1125" customWidth="1"/>
    <col min="14859" max="14859" width="12.75" style="1125" customWidth="1"/>
    <col min="14860" max="15094" width="9" style="1125"/>
    <col min="15095" max="15095" width="16.75" style="1125" customWidth="1"/>
    <col min="15096" max="15096" width="12.75" style="1125" customWidth="1"/>
    <col min="15097" max="15097" width="11.75" style="1125" customWidth="1"/>
    <col min="15098" max="15098" width="11.25" style="1125" customWidth="1"/>
    <col min="15099" max="15099" width="22.25" style="1125" customWidth="1"/>
    <col min="15100" max="15100" width="10.25" style="1125" customWidth="1"/>
    <col min="15101" max="15101" width="4.25" style="1125" customWidth="1"/>
    <col min="15102" max="15102" width="7.875" style="1125" customWidth="1"/>
    <col min="15103" max="15114" width="4" style="1125" customWidth="1"/>
    <col min="15115" max="15115" width="12.75" style="1125" customWidth="1"/>
    <col min="15116" max="15350" width="9" style="1125"/>
    <col min="15351" max="15351" width="16.75" style="1125" customWidth="1"/>
    <col min="15352" max="15352" width="12.75" style="1125" customWidth="1"/>
    <col min="15353" max="15353" width="11.75" style="1125" customWidth="1"/>
    <col min="15354" max="15354" width="11.25" style="1125" customWidth="1"/>
    <col min="15355" max="15355" width="22.25" style="1125" customWidth="1"/>
    <col min="15356" max="15356" width="10.25" style="1125" customWidth="1"/>
    <col min="15357" max="15357" width="4.25" style="1125" customWidth="1"/>
    <col min="15358" max="15358" width="7.875" style="1125" customWidth="1"/>
    <col min="15359" max="15370" width="4" style="1125" customWidth="1"/>
    <col min="15371" max="15371" width="12.75" style="1125" customWidth="1"/>
    <col min="15372" max="15606" width="9" style="1125"/>
    <col min="15607" max="15607" width="16.75" style="1125" customWidth="1"/>
    <col min="15608" max="15608" width="12.75" style="1125" customWidth="1"/>
    <col min="15609" max="15609" width="11.75" style="1125" customWidth="1"/>
    <col min="15610" max="15610" width="11.25" style="1125" customWidth="1"/>
    <col min="15611" max="15611" width="22.25" style="1125" customWidth="1"/>
    <col min="15612" max="15612" width="10.25" style="1125" customWidth="1"/>
    <col min="15613" max="15613" width="4.25" style="1125" customWidth="1"/>
    <col min="15614" max="15614" width="7.875" style="1125" customWidth="1"/>
    <col min="15615" max="15626" width="4" style="1125" customWidth="1"/>
    <col min="15627" max="15627" width="12.75" style="1125" customWidth="1"/>
    <col min="15628" max="15862" width="9" style="1125"/>
    <col min="15863" max="15863" width="16.75" style="1125" customWidth="1"/>
    <col min="15864" max="15864" width="12.75" style="1125" customWidth="1"/>
    <col min="15865" max="15865" width="11.75" style="1125" customWidth="1"/>
    <col min="15866" max="15866" width="11.25" style="1125" customWidth="1"/>
    <col min="15867" max="15867" width="22.25" style="1125" customWidth="1"/>
    <col min="15868" max="15868" width="10.25" style="1125" customWidth="1"/>
    <col min="15869" max="15869" width="4.25" style="1125" customWidth="1"/>
    <col min="15870" max="15870" width="7.875" style="1125" customWidth="1"/>
    <col min="15871" max="15882" width="4" style="1125" customWidth="1"/>
    <col min="15883" max="15883" width="12.75" style="1125" customWidth="1"/>
    <col min="15884" max="16118" width="9" style="1125"/>
    <col min="16119" max="16119" width="16.75" style="1125" customWidth="1"/>
    <col min="16120" max="16120" width="12.75" style="1125" customWidth="1"/>
    <col min="16121" max="16121" width="11.75" style="1125" customWidth="1"/>
    <col min="16122" max="16122" width="11.25" style="1125" customWidth="1"/>
    <col min="16123" max="16123" width="22.25" style="1125" customWidth="1"/>
    <col min="16124" max="16124" width="10.25" style="1125" customWidth="1"/>
    <col min="16125" max="16125" width="4.25" style="1125" customWidth="1"/>
    <col min="16126" max="16126" width="7.875" style="1125" customWidth="1"/>
    <col min="16127" max="16138" width="4" style="1125" customWidth="1"/>
    <col min="16139" max="16139" width="12.75" style="1125" customWidth="1"/>
    <col min="16140" max="16374" width="9" style="1125"/>
    <col min="16375" max="16384" width="9" style="1125" customWidth="1"/>
  </cols>
  <sheetData>
    <row r="1" spans="1:256" s="1131" customFormat="1">
      <c r="A1" s="2139" t="s">
        <v>1553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L1" s="2139"/>
      <c r="M1" s="2139"/>
      <c r="N1" s="2139"/>
      <c r="O1" s="2139"/>
      <c r="P1" s="2139"/>
      <c r="Q1" s="2139"/>
      <c r="R1" s="2139"/>
      <c r="S1" s="2139"/>
      <c r="T1" s="2139"/>
      <c r="U1" s="2139"/>
    </row>
    <row r="2" spans="1:256" s="32" customFormat="1" ht="20.25">
      <c r="A2" s="2140" t="s">
        <v>1591</v>
      </c>
      <c r="B2" s="2140"/>
      <c r="C2" s="2140"/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0"/>
      <c r="Q2" s="2140"/>
      <c r="R2" s="2140"/>
      <c r="S2" s="2140"/>
      <c r="T2" s="2140"/>
      <c r="U2" s="2140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1124"/>
      <c r="AM2" s="1124"/>
      <c r="AN2" s="1124"/>
      <c r="AO2" s="1124"/>
      <c r="AP2" s="1124"/>
      <c r="AQ2" s="1124"/>
      <c r="AR2" s="1124"/>
      <c r="AS2" s="1124"/>
      <c r="AT2" s="1124"/>
      <c r="AU2" s="1124"/>
      <c r="AV2" s="1124"/>
      <c r="AW2" s="1124"/>
      <c r="AX2" s="1124"/>
      <c r="AY2" s="1124"/>
      <c r="AZ2" s="1124"/>
      <c r="BA2" s="1124"/>
      <c r="BB2" s="1124"/>
      <c r="BC2" s="1124"/>
      <c r="BD2" s="1124"/>
      <c r="BE2" s="1124"/>
      <c r="BF2" s="1124"/>
      <c r="BG2" s="1124"/>
      <c r="BH2" s="1124"/>
      <c r="BI2" s="1124"/>
      <c r="BJ2" s="1124"/>
      <c r="BK2" s="1124"/>
      <c r="BL2" s="1124"/>
      <c r="BM2" s="1124"/>
      <c r="BN2" s="1124"/>
      <c r="BO2" s="1124"/>
      <c r="BP2" s="1124"/>
      <c r="BQ2" s="1124"/>
      <c r="BR2" s="1124"/>
      <c r="BS2" s="1124"/>
      <c r="BT2" s="1124"/>
      <c r="BU2" s="1124"/>
      <c r="BV2" s="1124"/>
      <c r="BW2" s="1124"/>
      <c r="BX2" s="1124"/>
      <c r="BY2" s="1124"/>
      <c r="BZ2" s="1124"/>
      <c r="CA2" s="1124"/>
      <c r="CB2" s="1124"/>
      <c r="CC2" s="1124"/>
      <c r="CD2" s="1124"/>
      <c r="CE2" s="1124"/>
      <c r="CF2" s="1124"/>
      <c r="CG2" s="1124"/>
      <c r="CH2" s="1124"/>
      <c r="CI2" s="1124"/>
      <c r="CJ2" s="1124"/>
      <c r="CK2" s="1124"/>
      <c r="CL2" s="1124"/>
      <c r="CM2" s="1124"/>
      <c r="CN2" s="1124"/>
      <c r="CO2" s="1124"/>
      <c r="CP2" s="1124"/>
      <c r="CQ2" s="1124"/>
      <c r="CR2" s="1124"/>
      <c r="CS2" s="1124"/>
      <c r="CT2" s="1124"/>
      <c r="CU2" s="1124"/>
      <c r="CV2" s="1124"/>
      <c r="CW2" s="1124"/>
      <c r="CX2" s="1124"/>
      <c r="CY2" s="1124"/>
      <c r="CZ2" s="1124"/>
      <c r="DA2" s="1124"/>
      <c r="DB2" s="1124"/>
      <c r="DC2" s="1124"/>
      <c r="DD2" s="1124"/>
      <c r="DE2" s="1124"/>
      <c r="DF2" s="1124"/>
      <c r="DG2" s="1124"/>
      <c r="DH2" s="1124"/>
      <c r="DI2" s="1124"/>
      <c r="DJ2" s="1124"/>
      <c r="DK2" s="1124"/>
      <c r="DL2" s="1124"/>
      <c r="DM2" s="1124"/>
      <c r="DN2" s="1124"/>
      <c r="DO2" s="1124"/>
      <c r="DP2" s="1124"/>
      <c r="DQ2" s="1124"/>
      <c r="DR2" s="1124"/>
      <c r="DS2" s="1124"/>
      <c r="DT2" s="1124"/>
      <c r="DU2" s="1124"/>
      <c r="DV2" s="1124"/>
      <c r="DW2" s="1124"/>
      <c r="DX2" s="1124"/>
      <c r="DY2" s="1124"/>
      <c r="DZ2" s="1124"/>
      <c r="EA2" s="1124"/>
      <c r="EB2" s="1124"/>
      <c r="EC2" s="1124"/>
      <c r="ED2" s="1124"/>
      <c r="EE2" s="1124"/>
      <c r="EF2" s="1124"/>
      <c r="EG2" s="1124"/>
      <c r="EH2" s="1124"/>
      <c r="EI2" s="1124"/>
      <c r="EJ2" s="1124"/>
      <c r="EK2" s="1124"/>
      <c r="EL2" s="1124"/>
      <c r="EM2" s="1124"/>
      <c r="EN2" s="1124"/>
      <c r="EO2" s="1124"/>
      <c r="EP2" s="1124"/>
      <c r="EQ2" s="1124"/>
      <c r="ER2" s="1124"/>
      <c r="ES2" s="1124"/>
      <c r="ET2" s="1124"/>
      <c r="EU2" s="1124"/>
      <c r="EV2" s="1124"/>
      <c r="EW2" s="1124"/>
      <c r="EX2" s="1124"/>
      <c r="EY2" s="1124"/>
      <c r="EZ2" s="1124"/>
      <c r="FA2" s="1124"/>
      <c r="FB2" s="1124"/>
      <c r="FC2" s="1124"/>
      <c r="FD2" s="1124"/>
      <c r="FE2" s="1124"/>
      <c r="FF2" s="1124"/>
      <c r="FG2" s="1124"/>
      <c r="FH2" s="1124"/>
      <c r="FI2" s="1124"/>
      <c r="FJ2" s="1124"/>
      <c r="FK2" s="1124"/>
      <c r="FL2" s="1124"/>
      <c r="FM2" s="1124"/>
      <c r="FN2" s="1124"/>
      <c r="FO2" s="1124"/>
      <c r="FP2" s="1124"/>
      <c r="FQ2" s="1124"/>
      <c r="FR2" s="1124"/>
      <c r="FS2" s="1124"/>
      <c r="FT2" s="1124"/>
      <c r="FU2" s="1124"/>
      <c r="FV2" s="1124"/>
      <c r="FW2" s="1124"/>
      <c r="FX2" s="1124"/>
      <c r="FY2" s="1124"/>
      <c r="FZ2" s="1124"/>
      <c r="GA2" s="1124"/>
      <c r="GB2" s="1124"/>
      <c r="GC2" s="1124"/>
      <c r="GD2" s="1124"/>
      <c r="GE2" s="1124"/>
      <c r="GF2" s="1124"/>
      <c r="GG2" s="1124"/>
      <c r="GH2" s="1124"/>
      <c r="GI2" s="1124"/>
      <c r="GJ2" s="1124"/>
      <c r="GK2" s="1124"/>
      <c r="GL2" s="1124"/>
      <c r="GM2" s="1124"/>
      <c r="GN2" s="1124"/>
      <c r="GO2" s="1124"/>
      <c r="GP2" s="1124"/>
      <c r="GQ2" s="1124"/>
      <c r="GR2" s="1124"/>
      <c r="GS2" s="1124"/>
      <c r="GT2" s="1124"/>
      <c r="GU2" s="1124"/>
      <c r="GV2" s="1124"/>
      <c r="GW2" s="1124"/>
      <c r="GX2" s="1124"/>
      <c r="GY2" s="1124"/>
      <c r="GZ2" s="1124"/>
      <c r="HA2" s="1124"/>
      <c r="HB2" s="1124"/>
      <c r="HC2" s="1124"/>
      <c r="HD2" s="1124"/>
      <c r="HE2" s="1124"/>
      <c r="HF2" s="1124"/>
      <c r="HG2" s="1124"/>
      <c r="HH2" s="1124"/>
      <c r="HI2" s="1124"/>
      <c r="HJ2" s="1124"/>
      <c r="HK2" s="1124"/>
      <c r="HL2" s="1124"/>
      <c r="HM2" s="1124"/>
      <c r="HN2" s="1124"/>
      <c r="HO2" s="1124"/>
      <c r="HP2" s="1124"/>
      <c r="HQ2" s="1124"/>
      <c r="HR2" s="1124"/>
      <c r="HS2" s="1124"/>
      <c r="HT2" s="1124"/>
      <c r="HU2" s="1124"/>
      <c r="HV2" s="1124"/>
      <c r="HW2" s="1124"/>
      <c r="HX2" s="1124"/>
      <c r="HY2" s="1124"/>
      <c r="HZ2" s="1124"/>
      <c r="IA2" s="1124"/>
      <c r="IB2" s="1124"/>
      <c r="IC2" s="1124"/>
      <c r="ID2" s="1124"/>
      <c r="IE2" s="1124"/>
      <c r="IF2" s="1124"/>
      <c r="IG2" s="1124"/>
      <c r="IH2" s="1124"/>
      <c r="II2" s="1124"/>
      <c r="IJ2" s="1124"/>
      <c r="IK2" s="1124"/>
      <c r="IL2" s="1124"/>
      <c r="IM2" s="1124"/>
      <c r="IN2" s="1124"/>
      <c r="IO2" s="1124"/>
      <c r="IP2" s="1124"/>
      <c r="IQ2" s="1124"/>
      <c r="IR2" s="1124"/>
      <c r="IS2" s="1124"/>
      <c r="IT2" s="1124"/>
      <c r="IU2" s="1124"/>
      <c r="IV2" s="1124"/>
    </row>
    <row r="3" spans="1:256" s="32" customFormat="1" ht="20.25">
      <c r="A3" s="2141" t="s">
        <v>1592</v>
      </c>
      <c r="B3" s="2141"/>
      <c r="C3" s="2141"/>
      <c r="D3" s="2141"/>
      <c r="E3" s="2141"/>
      <c r="F3" s="2141"/>
      <c r="G3" s="2141"/>
      <c r="H3" s="2141"/>
      <c r="I3" s="2141"/>
      <c r="J3" s="2141"/>
      <c r="K3" s="2141"/>
      <c r="L3" s="2141"/>
      <c r="M3" s="2141"/>
      <c r="N3" s="2141"/>
      <c r="O3" s="2141"/>
      <c r="P3" s="2141"/>
      <c r="Q3" s="2141"/>
      <c r="R3" s="2141"/>
      <c r="S3" s="2141"/>
      <c r="T3" s="2141"/>
      <c r="U3" s="2141"/>
      <c r="V3" s="1124"/>
      <c r="W3" s="1124"/>
      <c r="X3" s="1124"/>
      <c r="Y3" s="1124"/>
      <c r="Z3" s="1124"/>
      <c r="AA3" s="1124"/>
      <c r="AB3" s="1124"/>
      <c r="AC3" s="1124"/>
      <c r="AD3" s="1124"/>
      <c r="AE3" s="1124"/>
      <c r="AF3" s="1124"/>
      <c r="AG3" s="1124"/>
      <c r="AH3" s="1124"/>
      <c r="AI3" s="1124"/>
      <c r="AJ3" s="1124"/>
      <c r="AK3" s="1124"/>
      <c r="AL3" s="1124"/>
      <c r="AM3" s="1124"/>
      <c r="AN3" s="1124"/>
      <c r="AO3" s="1124"/>
      <c r="AP3" s="1124"/>
      <c r="AQ3" s="1124"/>
      <c r="AR3" s="1124"/>
      <c r="AS3" s="1124"/>
      <c r="AT3" s="1124"/>
      <c r="AU3" s="1124"/>
      <c r="AV3" s="1124"/>
      <c r="AW3" s="1124"/>
      <c r="AX3" s="1124"/>
      <c r="AY3" s="1124"/>
      <c r="AZ3" s="1124"/>
      <c r="BA3" s="1124"/>
      <c r="BB3" s="1124"/>
      <c r="BC3" s="1124"/>
      <c r="BD3" s="1124"/>
      <c r="BE3" s="1124"/>
      <c r="BF3" s="1124"/>
      <c r="BG3" s="1124"/>
      <c r="BH3" s="1124"/>
      <c r="BI3" s="1124"/>
      <c r="BJ3" s="1124"/>
      <c r="BK3" s="1124"/>
      <c r="BL3" s="1124"/>
      <c r="BM3" s="1124"/>
      <c r="BN3" s="1124"/>
      <c r="BO3" s="1124"/>
      <c r="BP3" s="1124"/>
      <c r="BQ3" s="1124"/>
      <c r="BR3" s="1124"/>
      <c r="BS3" s="1124"/>
      <c r="BT3" s="1124"/>
      <c r="BU3" s="1124"/>
      <c r="BV3" s="1124"/>
      <c r="BW3" s="1124"/>
      <c r="BX3" s="1124"/>
      <c r="BY3" s="1124"/>
      <c r="BZ3" s="1124"/>
      <c r="CA3" s="1124"/>
      <c r="CB3" s="1124"/>
      <c r="CC3" s="1124"/>
      <c r="CD3" s="1124"/>
      <c r="CE3" s="1124"/>
      <c r="CF3" s="1124"/>
      <c r="CG3" s="1124"/>
      <c r="CH3" s="1124"/>
      <c r="CI3" s="1124"/>
      <c r="CJ3" s="1124"/>
      <c r="CK3" s="1124"/>
      <c r="CL3" s="1124"/>
      <c r="CM3" s="1124"/>
      <c r="CN3" s="1124"/>
      <c r="CO3" s="1124"/>
      <c r="CP3" s="1124"/>
      <c r="CQ3" s="1124"/>
      <c r="CR3" s="1124"/>
      <c r="CS3" s="1124"/>
      <c r="CT3" s="1124"/>
      <c r="CU3" s="1124"/>
      <c r="CV3" s="1124"/>
      <c r="CW3" s="1124"/>
      <c r="CX3" s="1124"/>
      <c r="CY3" s="1124"/>
      <c r="CZ3" s="1124"/>
      <c r="DA3" s="1124"/>
      <c r="DB3" s="1124"/>
      <c r="DC3" s="1124"/>
      <c r="DD3" s="1124"/>
      <c r="DE3" s="1124"/>
      <c r="DF3" s="1124"/>
      <c r="DG3" s="1124"/>
      <c r="DH3" s="1124"/>
      <c r="DI3" s="1124"/>
      <c r="DJ3" s="1124"/>
      <c r="DK3" s="1124"/>
      <c r="DL3" s="1124"/>
      <c r="DM3" s="1124"/>
      <c r="DN3" s="1124"/>
      <c r="DO3" s="1124"/>
      <c r="DP3" s="1124"/>
      <c r="DQ3" s="1124"/>
      <c r="DR3" s="1124"/>
      <c r="DS3" s="1124"/>
      <c r="DT3" s="1124"/>
      <c r="DU3" s="1124"/>
      <c r="DV3" s="1124"/>
      <c r="DW3" s="1124"/>
      <c r="DX3" s="1124"/>
      <c r="DY3" s="1124"/>
      <c r="DZ3" s="1124"/>
      <c r="EA3" s="1124"/>
      <c r="EB3" s="1124"/>
      <c r="EC3" s="1124"/>
      <c r="ED3" s="1124"/>
      <c r="EE3" s="1124"/>
      <c r="EF3" s="1124"/>
      <c r="EG3" s="1124"/>
      <c r="EH3" s="1124"/>
      <c r="EI3" s="1124"/>
      <c r="EJ3" s="1124"/>
      <c r="EK3" s="1124"/>
      <c r="EL3" s="1124"/>
      <c r="EM3" s="1124"/>
      <c r="EN3" s="1124"/>
      <c r="EO3" s="1124"/>
      <c r="EP3" s="1124"/>
      <c r="EQ3" s="1124"/>
      <c r="ER3" s="1124"/>
      <c r="ES3" s="1124"/>
      <c r="ET3" s="1124"/>
      <c r="EU3" s="1124"/>
      <c r="EV3" s="1124"/>
      <c r="EW3" s="1124"/>
      <c r="EX3" s="1124"/>
      <c r="EY3" s="1124"/>
      <c r="EZ3" s="1124"/>
      <c r="FA3" s="1124"/>
      <c r="FB3" s="1124"/>
      <c r="FC3" s="1124"/>
      <c r="FD3" s="1124"/>
      <c r="FE3" s="1124"/>
      <c r="FF3" s="1124"/>
      <c r="FG3" s="1124"/>
      <c r="FH3" s="1124"/>
      <c r="FI3" s="1124"/>
      <c r="FJ3" s="1124"/>
      <c r="FK3" s="1124"/>
      <c r="FL3" s="1124"/>
      <c r="FM3" s="1124"/>
      <c r="FN3" s="1124"/>
      <c r="FO3" s="1124"/>
      <c r="FP3" s="1124"/>
      <c r="FQ3" s="1124"/>
      <c r="FR3" s="1124"/>
      <c r="FS3" s="1124"/>
      <c r="FT3" s="1124"/>
      <c r="FU3" s="1124"/>
      <c r="FV3" s="1124"/>
      <c r="FW3" s="1124"/>
      <c r="FX3" s="1124"/>
      <c r="FY3" s="1124"/>
      <c r="FZ3" s="1124"/>
      <c r="GA3" s="1124"/>
      <c r="GB3" s="1124"/>
      <c r="GC3" s="1124"/>
      <c r="GD3" s="1124"/>
      <c r="GE3" s="1124"/>
      <c r="GF3" s="1124"/>
      <c r="GG3" s="1124"/>
      <c r="GH3" s="1124"/>
      <c r="GI3" s="1124"/>
      <c r="GJ3" s="1124"/>
      <c r="GK3" s="1124"/>
      <c r="GL3" s="1124"/>
      <c r="GM3" s="1124"/>
      <c r="GN3" s="1124"/>
      <c r="GO3" s="1124"/>
      <c r="GP3" s="1124"/>
      <c r="GQ3" s="1124"/>
      <c r="GR3" s="1124"/>
      <c r="GS3" s="1124"/>
      <c r="GT3" s="1124"/>
      <c r="GU3" s="1124"/>
      <c r="GV3" s="1124"/>
      <c r="GW3" s="1124"/>
      <c r="GX3" s="1124"/>
      <c r="GY3" s="1124"/>
      <c r="GZ3" s="1124"/>
      <c r="HA3" s="1124"/>
      <c r="HB3" s="1124"/>
      <c r="HC3" s="1124"/>
      <c r="HD3" s="1124"/>
      <c r="HE3" s="1124"/>
      <c r="HF3" s="1124"/>
      <c r="HG3" s="1124"/>
      <c r="HH3" s="1124"/>
      <c r="HI3" s="1124"/>
      <c r="HJ3" s="1124"/>
      <c r="HK3" s="1124"/>
      <c r="HL3" s="1124"/>
      <c r="HM3" s="1124"/>
      <c r="HN3" s="1124"/>
      <c r="HO3" s="1124"/>
      <c r="HP3" s="1124"/>
      <c r="HQ3" s="1124"/>
      <c r="HR3" s="1124"/>
      <c r="HS3" s="1124"/>
      <c r="HT3" s="1124"/>
      <c r="HU3" s="1124"/>
      <c r="HV3" s="1124"/>
      <c r="HW3" s="1124"/>
      <c r="HX3" s="1124"/>
      <c r="HY3" s="1124"/>
      <c r="HZ3" s="1124"/>
      <c r="IA3" s="1124"/>
      <c r="IB3" s="1124"/>
      <c r="IC3" s="1124"/>
      <c r="ID3" s="1124"/>
      <c r="IE3" s="1124"/>
      <c r="IF3" s="1124"/>
      <c r="IG3" s="1124"/>
      <c r="IH3" s="1124"/>
      <c r="II3" s="1124"/>
      <c r="IJ3" s="1124"/>
      <c r="IK3" s="1124"/>
      <c r="IL3" s="1124"/>
      <c r="IM3" s="1124"/>
      <c r="IN3" s="1124"/>
      <c r="IO3" s="1124"/>
      <c r="IP3" s="1124"/>
      <c r="IQ3" s="1124"/>
      <c r="IR3" s="1124"/>
      <c r="IS3" s="1124"/>
      <c r="IT3" s="1124"/>
      <c r="IU3" s="1124"/>
      <c r="IV3" s="1124"/>
    </row>
    <row r="4" spans="1:256">
      <c r="A4" s="2120" t="s">
        <v>1775</v>
      </c>
      <c r="B4" s="2120"/>
      <c r="C4" s="2120"/>
      <c r="D4" s="2120"/>
      <c r="E4" s="2120"/>
      <c r="F4" s="2120"/>
      <c r="G4" s="2120"/>
      <c r="H4" s="2120"/>
      <c r="I4" s="2120"/>
      <c r="J4" s="2120"/>
      <c r="K4" s="2120"/>
      <c r="L4" s="2120"/>
      <c r="M4" s="2120"/>
      <c r="N4" s="2120"/>
      <c r="O4" s="2120"/>
      <c r="P4" s="2120"/>
      <c r="Q4" s="2120"/>
      <c r="R4" s="2120"/>
      <c r="S4" s="2120"/>
      <c r="T4" s="2120"/>
      <c r="U4" s="2120"/>
      <c r="V4" s="1124"/>
      <c r="W4" s="1124"/>
      <c r="X4" s="1124"/>
      <c r="Y4" s="1124"/>
      <c r="Z4" s="1124"/>
      <c r="AA4" s="1124"/>
      <c r="AB4" s="1124"/>
      <c r="AC4" s="1124"/>
      <c r="AD4" s="1124"/>
      <c r="AE4" s="1124"/>
      <c r="AF4" s="1124"/>
      <c r="AG4" s="1124"/>
      <c r="AH4" s="1124"/>
      <c r="AI4" s="1124"/>
      <c r="AJ4" s="1124"/>
      <c r="AK4" s="1124"/>
      <c r="AL4" s="1124"/>
      <c r="AM4" s="1124"/>
      <c r="AN4" s="1124"/>
      <c r="AO4" s="1124"/>
      <c r="AP4" s="1124"/>
      <c r="AQ4" s="1124"/>
      <c r="AR4" s="1124"/>
      <c r="AS4" s="1124"/>
      <c r="AT4" s="1124"/>
      <c r="AU4" s="1124"/>
      <c r="AV4" s="1124"/>
      <c r="AW4" s="1124"/>
      <c r="AX4" s="1124"/>
      <c r="AY4" s="1124"/>
      <c r="AZ4" s="1124"/>
      <c r="BA4" s="1124"/>
      <c r="BB4" s="1124"/>
      <c r="BC4" s="1124"/>
      <c r="BD4" s="1124"/>
      <c r="BE4" s="1124"/>
      <c r="BF4" s="1124"/>
      <c r="BG4" s="1124"/>
      <c r="BH4" s="1124"/>
      <c r="BI4" s="1124"/>
      <c r="BJ4" s="1124"/>
      <c r="BK4" s="1124"/>
      <c r="BL4" s="1124"/>
      <c r="BM4" s="1124"/>
      <c r="BN4" s="1124"/>
      <c r="BO4" s="1124"/>
      <c r="BP4" s="1124"/>
      <c r="BQ4" s="1124"/>
      <c r="BR4" s="1124"/>
      <c r="BS4" s="1124"/>
      <c r="BT4" s="1124"/>
      <c r="BU4" s="1124"/>
      <c r="BV4" s="1124"/>
      <c r="BW4" s="1124"/>
      <c r="BX4" s="1124"/>
      <c r="BY4" s="1124"/>
      <c r="BZ4" s="1124"/>
      <c r="CA4" s="1124"/>
      <c r="CB4" s="1124"/>
      <c r="CC4" s="1124"/>
      <c r="CD4" s="1124"/>
      <c r="CE4" s="1124"/>
      <c r="CF4" s="1124"/>
      <c r="CG4" s="1124"/>
      <c r="CH4" s="1124"/>
      <c r="CI4" s="1124"/>
      <c r="CJ4" s="1124"/>
      <c r="CK4" s="1124"/>
      <c r="CL4" s="1124"/>
      <c r="CM4" s="1124"/>
      <c r="CN4" s="1124"/>
      <c r="CO4" s="1124"/>
      <c r="CP4" s="1124"/>
      <c r="CQ4" s="1124"/>
      <c r="CR4" s="1124"/>
      <c r="CS4" s="1124"/>
      <c r="CT4" s="1124"/>
      <c r="CU4" s="1124"/>
      <c r="CV4" s="1124"/>
      <c r="CW4" s="1124"/>
      <c r="CX4" s="1124"/>
      <c r="CY4" s="1124"/>
      <c r="CZ4" s="1124"/>
      <c r="DA4" s="1124"/>
      <c r="DB4" s="1124"/>
      <c r="DC4" s="1124"/>
      <c r="DD4" s="1124"/>
      <c r="DE4" s="1124"/>
      <c r="DF4" s="1124"/>
      <c r="DG4" s="1124"/>
      <c r="DH4" s="1124"/>
      <c r="DI4" s="1124"/>
      <c r="DJ4" s="1124"/>
      <c r="DK4" s="1124"/>
      <c r="DL4" s="1124"/>
      <c r="DM4" s="1124"/>
      <c r="DN4" s="1124"/>
      <c r="DO4" s="1124"/>
      <c r="DP4" s="1124"/>
      <c r="DQ4" s="1124"/>
      <c r="DR4" s="1124"/>
      <c r="DS4" s="1124"/>
      <c r="DT4" s="1124"/>
      <c r="DU4" s="1124"/>
      <c r="DV4" s="1124"/>
      <c r="DW4" s="1124"/>
      <c r="DX4" s="1124"/>
      <c r="DY4" s="1124"/>
      <c r="DZ4" s="1124"/>
      <c r="EA4" s="1124"/>
      <c r="EB4" s="1124"/>
      <c r="EC4" s="1124"/>
      <c r="ED4" s="1124"/>
      <c r="EE4" s="1124"/>
      <c r="EF4" s="1124"/>
      <c r="EG4" s="1124"/>
      <c r="EH4" s="1124"/>
      <c r="EI4" s="1124"/>
      <c r="EJ4" s="1124"/>
      <c r="EK4" s="1124"/>
      <c r="EL4" s="1124"/>
      <c r="EM4" s="1124"/>
      <c r="EN4" s="1124"/>
      <c r="EO4" s="1124"/>
      <c r="EP4" s="1124"/>
      <c r="EQ4" s="1124"/>
      <c r="ER4" s="1124"/>
      <c r="ES4" s="1124"/>
      <c r="ET4" s="1124"/>
      <c r="EU4" s="1124"/>
      <c r="EV4" s="1124"/>
      <c r="EW4" s="1124"/>
      <c r="EX4" s="1124"/>
      <c r="EY4" s="1124"/>
      <c r="EZ4" s="1124"/>
      <c r="FA4" s="1124"/>
      <c r="FB4" s="1124"/>
      <c r="FC4" s="1124"/>
      <c r="FD4" s="1124"/>
      <c r="FE4" s="1124"/>
      <c r="FF4" s="1124"/>
      <c r="FG4" s="1124"/>
      <c r="FH4" s="1124"/>
      <c r="FI4" s="1124"/>
      <c r="FJ4" s="1124"/>
      <c r="FK4" s="1124"/>
      <c r="FL4" s="1124"/>
      <c r="FM4" s="1124"/>
      <c r="FN4" s="1124"/>
      <c r="FO4" s="1124"/>
      <c r="FP4" s="1124"/>
      <c r="FQ4" s="1124"/>
      <c r="FR4" s="1124"/>
      <c r="FS4" s="1124"/>
      <c r="FT4" s="1124"/>
      <c r="FU4" s="1124"/>
      <c r="FV4" s="1124"/>
      <c r="FW4" s="1124"/>
      <c r="FX4" s="1124"/>
      <c r="FY4" s="1124"/>
      <c r="FZ4" s="1124"/>
      <c r="GA4" s="1124"/>
      <c r="GB4" s="1124"/>
      <c r="GC4" s="1124"/>
      <c r="GD4" s="1124"/>
      <c r="GE4" s="1124"/>
      <c r="GF4" s="1124"/>
      <c r="GG4" s="1124"/>
      <c r="GH4" s="1124"/>
      <c r="GI4" s="1124"/>
      <c r="GJ4" s="1124"/>
      <c r="GK4" s="1124"/>
      <c r="GL4" s="1124"/>
      <c r="GM4" s="1124"/>
      <c r="GN4" s="1124"/>
      <c r="GO4" s="1124"/>
      <c r="GP4" s="1124"/>
      <c r="GQ4" s="1124"/>
      <c r="GR4" s="1124"/>
      <c r="GS4" s="1124"/>
      <c r="GT4" s="1124"/>
      <c r="GU4" s="1124"/>
      <c r="GV4" s="1124"/>
      <c r="GW4" s="1124"/>
      <c r="GX4" s="1124"/>
      <c r="GY4" s="1124"/>
      <c r="GZ4" s="1124"/>
      <c r="HA4" s="1124"/>
      <c r="HB4" s="1124"/>
      <c r="HC4" s="1124"/>
      <c r="HD4" s="1124"/>
      <c r="HE4" s="1124"/>
      <c r="HF4" s="1124"/>
      <c r="HG4" s="1124"/>
      <c r="HH4" s="1124"/>
      <c r="HI4" s="1124"/>
      <c r="HJ4" s="1124"/>
      <c r="HK4" s="1124"/>
      <c r="HL4" s="1124"/>
      <c r="HM4" s="1124"/>
      <c r="HN4" s="1124"/>
      <c r="HO4" s="1124"/>
      <c r="HP4" s="1124"/>
      <c r="HQ4" s="1124"/>
      <c r="HR4" s="1124"/>
      <c r="HS4" s="1124"/>
      <c r="HT4" s="1124"/>
      <c r="HU4" s="1124"/>
      <c r="HV4" s="1124"/>
      <c r="HW4" s="1124"/>
      <c r="HX4" s="1124"/>
      <c r="HY4" s="1124"/>
      <c r="HZ4" s="1124"/>
      <c r="IA4" s="1124"/>
      <c r="IB4" s="1124"/>
      <c r="IC4" s="1124"/>
      <c r="ID4" s="1124"/>
      <c r="IE4" s="1124"/>
      <c r="IF4" s="1124"/>
      <c r="IG4" s="1124"/>
      <c r="IH4" s="1124"/>
      <c r="II4" s="1124"/>
      <c r="IJ4" s="1124"/>
      <c r="IK4" s="1124"/>
      <c r="IL4" s="1124"/>
      <c r="IM4" s="1124"/>
      <c r="IN4" s="1124"/>
      <c r="IO4" s="1124"/>
      <c r="IP4" s="1124"/>
      <c r="IQ4" s="1124"/>
      <c r="IR4" s="1124"/>
      <c r="IS4" s="1124"/>
      <c r="IT4" s="1124"/>
      <c r="IU4" s="1124"/>
      <c r="IV4" s="1124"/>
    </row>
    <row r="5" spans="1:256">
      <c r="A5" s="2121" t="s">
        <v>44</v>
      </c>
      <c r="B5" s="2100" t="s">
        <v>45</v>
      </c>
      <c r="C5" s="2100" t="s">
        <v>46</v>
      </c>
      <c r="D5" s="2100" t="s">
        <v>47</v>
      </c>
      <c r="E5" s="2100" t="s">
        <v>48</v>
      </c>
      <c r="F5" s="2100"/>
      <c r="G5" s="2100"/>
      <c r="H5" s="2100" t="s">
        <v>1533</v>
      </c>
      <c r="I5" s="2225" t="s">
        <v>50</v>
      </c>
      <c r="J5" s="2225"/>
      <c r="K5" s="2225"/>
      <c r="L5" s="2225"/>
      <c r="M5" s="2225"/>
      <c r="N5" s="2225"/>
      <c r="O5" s="2225"/>
      <c r="P5" s="2225"/>
      <c r="Q5" s="2225"/>
      <c r="R5" s="2225"/>
      <c r="S5" s="2225"/>
      <c r="T5" s="2225"/>
      <c r="U5" s="2121" t="s">
        <v>51</v>
      </c>
      <c r="V5" s="1124"/>
      <c r="W5" s="1124"/>
      <c r="X5" s="1124"/>
      <c r="Y5" s="1124"/>
      <c r="Z5" s="1124"/>
      <c r="AA5" s="1124"/>
      <c r="AB5" s="1124"/>
      <c r="AC5" s="1124"/>
      <c r="AD5" s="1124"/>
      <c r="AE5" s="1124"/>
      <c r="AF5" s="1124"/>
      <c r="AG5" s="1124"/>
      <c r="AH5" s="1124"/>
      <c r="AI5" s="1124"/>
      <c r="AJ5" s="1124"/>
      <c r="AK5" s="1124"/>
      <c r="AL5" s="1124"/>
      <c r="AM5" s="1124"/>
      <c r="AN5" s="1124"/>
      <c r="AO5" s="1124"/>
      <c r="AP5" s="1124"/>
      <c r="AQ5" s="1124"/>
      <c r="AR5" s="1124"/>
      <c r="AS5" s="1124"/>
      <c r="AT5" s="1124"/>
      <c r="AU5" s="1124"/>
      <c r="AV5" s="1124"/>
      <c r="AW5" s="1124"/>
      <c r="AX5" s="1124"/>
      <c r="AY5" s="1124"/>
      <c r="AZ5" s="1124"/>
      <c r="BA5" s="1124"/>
      <c r="BB5" s="1124"/>
      <c r="BC5" s="1124"/>
      <c r="BD5" s="1124"/>
      <c r="BE5" s="1124"/>
      <c r="BF5" s="1124"/>
      <c r="BG5" s="1124"/>
      <c r="BH5" s="1124"/>
      <c r="BI5" s="1124"/>
      <c r="BJ5" s="1124"/>
      <c r="BK5" s="1124"/>
      <c r="BL5" s="1124"/>
      <c r="BM5" s="1124"/>
      <c r="BN5" s="1124"/>
      <c r="BO5" s="1124"/>
      <c r="BP5" s="1124"/>
      <c r="BQ5" s="1124"/>
      <c r="BR5" s="1124"/>
      <c r="BS5" s="1124"/>
      <c r="BT5" s="1124"/>
      <c r="BU5" s="1124"/>
      <c r="BV5" s="1124"/>
      <c r="BW5" s="1124"/>
      <c r="BX5" s="1124"/>
      <c r="BY5" s="1124"/>
      <c r="BZ5" s="1124"/>
      <c r="CA5" s="1124"/>
      <c r="CB5" s="1124"/>
      <c r="CC5" s="1124"/>
      <c r="CD5" s="1124"/>
      <c r="CE5" s="1124"/>
      <c r="CF5" s="1124"/>
      <c r="CG5" s="1124"/>
      <c r="CH5" s="1124"/>
      <c r="CI5" s="1124"/>
      <c r="CJ5" s="1124"/>
      <c r="CK5" s="1124"/>
      <c r="CL5" s="1124"/>
      <c r="CM5" s="1124"/>
      <c r="CN5" s="1124"/>
      <c r="CO5" s="1124"/>
      <c r="CP5" s="1124"/>
      <c r="CQ5" s="1124"/>
      <c r="CR5" s="1124"/>
      <c r="CS5" s="1124"/>
      <c r="CT5" s="1124"/>
      <c r="CU5" s="1124"/>
      <c r="CV5" s="1124"/>
      <c r="CW5" s="1124"/>
      <c r="CX5" s="1124"/>
      <c r="CY5" s="1124"/>
      <c r="CZ5" s="1124"/>
      <c r="DA5" s="1124"/>
      <c r="DB5" s="1124"/>
      <c r="DC5" s="1124"/>
      <c r="DD5" s="1124"/>
      <c r="DE5" s="1124"/>
      <c r="DF5" s="1124"/>
      <c r="DG5" s="1124"/>
      <c r="DH5" s="1124"/>
      <c r="DI5" s="1124"/>
      <c r="DJ5" s="1124"/>
      <c r="DK5" s="1124"/>
      <c r="DL5" s="1124"/>
      <c r="DM5" s="1124"/>
      <c r="DN5" s="1124"/>
      <c r="DO5" s="1124"/>
      <c r="DP5" s="1124"/>
      <c r="DQ5" s="1124"/>
      <c r="DR5" s="1124"/>
      <c r="DS5" s="1124"/>
      <c r="DT5" s="1124"/>
      <c r="DU5" s="1124"/>
      <c r="DV5" s="1124"/>
      <c r="DW5" s="1124"/>
      <c r="DX5" s="1124"/>
      <c r="DY5" s="1124"/>
      <c r="DZ5" s="1124"/>
      <c r="EA5" s="1124"/>
      <c r="EB5" s="1124"/>
      <c r="EC5" s="1124"/>
      <c r="ED5" s="1124"/>
      <c r="EE5" s="1124"/>
      <c r="EF5" s="1124"/>
      <c r="EG5" s="1124"/>
      <c r="EH5" s="1124"/>
      <c r="EI5" s="1124"/>
      <c r="EJ5" s="1124"/>
      <c r="EK5" s="1124"/>
      <c r="EL5" s="1124"/>
      <c r="EM5" s="1124"/>
      <c r="EN5" s="1124"/>
      <c r="EO5" s="1124"/>
      <c r="EP5" s="1124"/>
      <c r="EQ5" s="1124"/>
      <c r="ER5" s="1124"/>
      <c r="ES5" s="1124"/>
      <c r="ET5" s="1124"/>
      <c r="EU5" s="1124"/>
      <c r="EV5" s="1124"/>
      <c r="EW5" s="1124"/>
      <c r="EX5" s="1124"/>
      <c r="EY5" s="1124"/>
      <c r="EZ5" s="1124"/>
      <c r="FA5" s="1124"/>
      <c r="FB5" s="1124"/>
      <c r="FC5" s="1124"/>
      <c r="FD5" s="1124"/>
      <c r="FE5" s="1124"/>
      <c r="FF5" s="1124"/>
      <c r="FG5" s="1124"/>
      <c r="FH5" s="1124"/>
      <c r="FI5" s="1124"/>
      <c r="FJ5" s="1124"/>
      <c r="FK5" s="1124"/>
      <c r="FL5" s="1124"/>
      <c r="FM5" s="1124"/>
      <c r="FN5" s="1124"/>
      <c r="FO5" s="1124"/>
      <c r="FP5" s="1124"/>
      <c r="FQ5" s="1124"/>
      <c r="FR5" s="1124"/>
      <c r="FS5" s="1124"/>
      <c r="FT5" s="1124"/>
      <c r="FU5" s="1124"/>
      <c r="FV5" s="1124"/>
      <c r="FW5" s="1124"/>
      <c r="FX5" s="1124"/>
      <c r="FY5" s="1124"/>
      <c r="FZ5" s="1124"/>
      <c r="GA5" s="1124"/>
      <c r="GB5" s="1124"/>
      <c r="GC5" s="1124"/>
      <c r="GD5" s="1124"/>
      <c r="GE5" s="1124"/>
      <c r="GF5" s="1124"/>
      <c r="GG5" s="1124"/>
      <c r="GH5" s="1124"/>
      <c r="GI5" s="1124"/>
      <c r="GJ5" s="1124"/>
      <c r="GK5" s="1124"/>
      <c r="GL5" s="1124"/>
      <c r="GM5" s="1124"/>
      <c r="GN5" s="1124"/>
      <c r="GO5" s="1124"/>
      <c r="GP5" s="1124"/>
      <c r="GQ5" s="1124"/>
      <c r="GR5" s="1124"/>
      <c r="GS5" s="1124"/>
      <c r="GT5" s="1124"/>
      <c r="GU5" s="1124"/>
      <c r="GV5" s="1124"/>
      <c r="GW5" s="1124"/>
      <c r="GX5" s="1124"/>
      <c r="GY5" s="1124"/>
      <c r="GZ5" s="1124"/>
      <c r="HA5" s="1124"/>
      <c r="HB5" s="1124"/>
      <c r="HC5" s="1124"/>
      <c r="HD5" s="1124"/>
      <c r="HE5" s="1124"/>
      <c r="HF5" s="1124"/>
      <c r="HG5" s="1124"/>
      <c r="HH5" s="1124"/>
      <c r="HI5" s="1124"/>
      <c r="HJ5" s="1124"/>
      <c r="HK5" s="1124"/>
      <c r="HL5" s="1124"/>
      <c r="HM5" s="1124"/>
      <c r="HN5" s="1124"/>
      <c r="HO5" s="1124"/>
      <c r="HP5" s="1124"/>
      <c r="HQ5" s="1124"/>
      <c r="HR5" s="1124"/>
      <c r="HS5" s="1124"/>
      <c r="HT5" s="1124"/>
      <c r="HU5" s="1124"/>
      <c r="HV5" s="1124"/>
      <c r="HW5" s="1124"/>
      <c r="HX5" s="1124"/>
      <c r="HY5" s="1124"/>
      <c r="HZ5" s="1124"/>
      <c r="IA5" s="1124"/>
      <c r="IB5" s="1124"/>
      <c r="IC5" s="1124"/>
      <c r="ID5" s="1124"/>
      <c r="IE5" s="1124"/>
      <c r="IF5" s="1124"/>
      <c r="IG5" s="1124"/>
      <c r="IH5" s="1124"/>
      <c r="II5" s="1124"/>
      <c r="IJ5" s="1124"/>
      <c r="IK5" s="1124"/>
      <c r="IL5" s="1124"/>
      <c r="IM5" s="1124"/>
      <c r="IN5" s="1124"/>
      <c r="IO5" s="1124"/>
      <c r="IP5" s="1124"/>
      <c r="IQ5" s="1124"/>
      <c r="IR5" s="1124"/>
      <c r="IS5" s="1124"/>
      <c r="IT5" s="1124"/>
      <c r="IU5" s="1124"/>
      <c r="IV5" s="1124"/>
    </row>
    <row r="6" spans="1:256" ht="21.75" customHeight="1">
      <c r="A6" s="2224"/>
      <c r="B6" s="2100"/>
      <c r="C6" s="2100"/>
      <c r="D6" s="2100"/>
      <c r="E6" s="1160" t="s">
        <v>52</v>
      </c>
      <c r="F6" s="1305" t="s">
        <v>1534</v>
      </c>
      <c r="G6" s="1161" t="s">
        <v>1559</v>
      </c>
      <c r="H6" s="2100"/>
      <c r="I6" s="1306" t="s">
        <v>55</v>
      </c>
      <c r="J6" s="1306" t="s">
        <v>56</v>
      </c>
      <c r="K6" s="1306" t="s">
        <v>57</v>
      </c>
      <c r="L6" s="1306" t="s">
        <v>58</v>
      </c>
      <c r="M6" s="1306" t="s">
        <v>59</v>
      </c>
      <c r="N6" s="1306" t="s">
        <v>60</v>
      </c>
      <c r="O6" s="1306" t="s">
        <v>61</v>
      </c>
      <c r="P6" s="1306" t="s">
        <v>62</v>
      </c>
      <c r="Q6" s="1306" t="s">
        <v>63</v>
      </c>
      <c r="R6" s="1306" t="s">
        <v>64</v>
      </c>
      <c r="S6" s="1306" t="s">
        <v>65</v>
      </c>
      <c r="T6" s="1306" t="s">
        <v>66</v>
      </c>
      <c r="U6" s="2122"/>
      <c r="V6" s="1124"/>
      <c r="W6" s="1124"/>
      <c r="X6" s="1124"/>
      <c r="Y6" s="1124"/>
      <c r="Z6" s="1124"/>
      <c r="AA6" s="1124"/>
      <c r="AB6" s="1124"/>
      <c r="AC6" s="1124"/>
      <c r="AD6" s="1124"/>
      <c r="AE6" s="1124"/>
      <c r="AF6" s="1124"/>
      <c r="AG6" s="1124"/>
      <c r="AH6" s="1124"/>
      <c r="AI6" s="1124"/>
      <c r="AJ6" s="1124"/>
      <c r="AK6" s="1124"/>
      <c r="AL6" s="1124"/>
      <c r="AM6" s="1124"/>
      <c r="AN6" s="1124"/>
      <c r="AO6" s="1124"/>
      <c r="AP6" s="1124"/>
      <c r="AQ6" s="1124"/>
      <c r="AR6" s="1124"/>
      <c r="AS6" s="1124"/>
      <c r="AT6" s="1124"/>
      <c r="AU6" s="1124"/>
      <c r="AV6" s="1124"/>
      <c r="AW6" s="1124"/>
      <c r="AX6" s="1124"/>
      <c r="AY6" s="1124"/>
      <c r="AZ6" s="1124"/>
      <c r="BA6" s="1124"/>
      <c r="BB6" s="1124"/>
      <c r="BC6" s="1124"/>
      <c r="BD6" s="1124"/>
      <c r="BE6" s="1124"/>
      <c r="BF6" s="1124"/>
      <c r="BG6" s="1124"/>
      <c r="BH6" s="1124"/>
      <c r="BI6" s="1124"/>
      <c r="BJ6" s="1124"/>
      <c r="BK6" s="1124"/>
      <c r="BL6" s="1124"/>
      <c r="BM6" s="1124"/>
      <c r="BN6" s="1124"/>
      <c r="BO6" s="1124"/>
      <c r="BP6" s="1124"/>
      <c r="BQ6" s="1124"/>
      <c r="BR6" s="1124"/>
      <c r="BS6" s="1124"/>
      <c r="BT6" s="1124"/>
      <c r="BU6" s="1124"/>
      <c r="BV6" s="1124"/>
      <c r="BW6" s="1124"/>
      <c r="BX6" s="1124"/>
      <c r="BY6" s="1124"/>
      <c r="BZ6" s="1124"/>
      <c r="CA6" s="1124"/>
      <c r="CB6" s="1124"/>
      <c r="CC6" s="1124"/>
      <c r="CD6" s="1124"/>
      <c r="CE6" s="1124"/>
      <c r="CF6" s="1124"/>
      <c r="CG6" s="1124"/>
      <c r="CH6" s="1124"/>
      <c r="CI6" s="1124"/>
      <c r="CJ6" s="1124"/>
      <c r="CK6" s="1124"/>
      <c r="CL6" s="1124"/>
      <c r="CM6" s="1124"/>
      <c r="CN6" s="1124"/>
      <c r="CO6" s="1124"/>
      <c r="CP6" s="1124"/>
      <c r="CQ6" s="1124"/>
      <c r="CR6" s="1124"/>
      <c r="CS6" s="1124"/>
      <c r="CT6" s="1124"/>
      <c r="CU6" s="1124"/>
      <c r="CV6" s="1124"/>
      <c r="CW6" s="1124"/>
      <c r="CX6" s="1124"/>
      <c r="CY6" s="1124"/>
      <c r="CZ6" s="1124"/>
      <c r="DA6" s="1124"/>
      <c r="DB6" s="1124"/>
      <c r="DC6" s="1124"/>
      <c r="DD6" s="1124"/>
      <c r="DE6" s="1124"/>
      <c r="DF6" s="1124"/>
      <c r="DG6" s="1124"/>
      <c r="DH6" s="1124"/>
      <c r="DI6" s="1124"/>
      <c r="DJ6" s="1124"/>
      <c r="DK6" s="1124"/>
      <c r="DL6" s="1124"/>
      <c r="DM6" s="1124"/>
      <c r="DN6" s="1124"/>
      <c r="DO6" s="1124"/>
      <c r="DP6" s="1124"/>
      <c r="DQ6" s="1124"/>
      <c r="DR6" s="1124"/>
      <c r="DS6" s="1124"/>
      <c r="DT6" s="1124"/>
      <c r="DU6" s="1124"/>
      <c r="DV6" s="1124"/>
      <c r="DW6" s="1124"/>
      <c r="DX6" s="1124"/>
      <c r="DY6" s="1124"/>
      <c r="DZ6" s="1124"/>
      <c r="EA6" s="1124"/>
      <c r="EB6" s="1124"/>
      <c r="EC6" s="1124"/>
      <c r="ED6" s="1124"/>
      <c r="EE6" s="1124"/>
      <c r="EF6" s="1124"/>
      <c r="EG6" s="1124"/>
      <c r="EH6" s="1124"/>
      <c r="EI6" s="1124"/>
      <c r="EJ6" s="1124"/>
      <c r="EK6" s="1124"/>
      <c r="EL6" s="1124"/>
      <c r="EM6" s="1124"/>
      <c r="EN6" s="1124"/>
      <c r="EO6" s="1124"/>
      <c r="EP6" s="1124"/>
      <c r="EQ6" s="1124"/>
      <c r="ER6" s="1124"/>
      <c r="ES6" s="1124"/>
      <c r="ET6" s="1124"/>
      <c r="EU6" s="1124"/>
      <c r="EV6" s="1124"/>
      <c r="EW6" s="1124"/>
      <c r="EX6" s="1124"/>
      <c r="EY6" s="1124"/>
      <c r="EZ6" s="1124"/>
      <c r="FA6" s="1124"/>
      <c r="FB6" s="1124"/>
      <c r="FC6" s="1124"/>
      <c r="FD6" s="1124"/>
      <c r="FE6" s="1124"/>
      <c r="FF6" s="1124"/>
      <c r="FG6" s="1124"/>
      <c r="FH6" s="1124"/>
      <c r="FI6" s="1124"/>
      <c r="FJ6" s="1124"/>
      <c r="FK6" s="1124"/>
      <c r="FL6" s="1124"/>
      <c r="FM6" s="1124"/>
      <c r="FN6" s="1124"/>
      <c r="FO6" s="1124"/>
      <c r="FP6" s="1124"/>
      <c r="FQ6" s="1124"/>
      <c r="FR6" s="1124"/>
      <c r="FS6" s="1124"/>
      <c r="FT6" s="1124"/>
      <c r="FU6" s="1124"/>
      <c r="FV6" s="1124"/>
      <c r="FW6" s="1124"/>
      <c r="FX6" s="1124"/>
      <c r="FY6" s="1124"/>
      <c r="FZ6" s="1124"/>
      <c r="GA6" s="1124"/>
      <c r="GB6" s="1124"/>
      <c r="GC6" s="1124"/>
      <c r="GD6" s="1124"/>
      <c r="GE6" s="1124"/>
      <c r="GF6" s="1124"/>
      <c r="GG6" s="1124"/>
      <c r="GH6" s="1124"/>
      <c r="GI6" s="1124"/>
      <c r="GJ6" s="1124"/>
      <c r="GK6" s="1124"/>
      <c r="GL6" s="1124"/>
      <c r="GM6" s="1124"/>
      <c r="GN6" s="1124"/>
      <c r="GO6" s="1124"/>
      <c r="GP6" s="1124"/>
      <c r="GQ6" s="1124"/>
      <c r="GR6" s="1124"/>
      <c r="GS6" s="1124"/>
      <c r="GT6" s="1124"/>
      <c r="GU6" s="1124"/>
      <c r="GV6" s="1124"/>
      <c r="GW6" s="1124"/>
      <c r="GX6" s="1124"/>
      <c r="GY6" s="1124"/>
      <c r="GZ6" s="1124"/>
      <c r="HA6" s="1124"/>
      <c r="HB6" s="1124"/>
      <c r="HC6" s="1124"/>
      <c r="HD6" s="1124"/>
      <c r="HE6" s="1124"/>
      <c r="HF6" s="1124"/>
      <c r="HG6" s="1124"/>
      <c r="HH6" s="1124"/>
      <c r="HI6" s="1124"/>
      <c r="HJ6" s="1124"/>
      <c r="HK6" s="1124"/>
      <c r="HL6" s="1124"/>
      <c r="HM6" s="1124"/>
      <c r="HN6" s="1124"/>
      <c r="HO6" s="1124"/>
      <c r="HP6" s="1124"/>
      <c r="HQ6" s="1124"/>
      <c r="HR6" s="1124"/>
      <c r="HS6" s="1124"/>
      <c r="HT6" s="1124"/>
      <c r="HU6" s="1124"/>
      <c r="HV6" s="1124"/>
      <c r="HW6" s="1124"/>
      <c r="HX6" s="1124"/>
      <c r="HY6" s="1124"/>
      <c r="HZ6" s="1124"/>
      <c r="IA6" s="1124"/>
      <c r="IB6" s="1124"/>
      <c r="IC6" s="1124"/>
      <c r="ID6" s="1124"/>
      <c r="IE6" s="1124"/>
      <c r="IF6" s="1124"/>
      <c r="IG6" s="1124"/>
      <c r="IH6" s="1124"/>
      <c r="II6" s="1124"/>
      <c r="IJ6" s="1124"/>
      <c r="IK6" s="1124"/>
      <c r="IL6" s="1124"/>
      <c r="IM6" s="1124"/>
      <c r="IN6" s="1124"/>
      <c r="IO6" s="1124"/>
      <c r="IP6" s="1124"/>
      <c r="IQ6" s="1124"/>
      <c r="IR6" s="1124"/>
      <c r="IS6" s="1124"/>
      <c r="IT6" s="1124"/>
      <c r="IU6" s="1124"/>
      <c r="IV6" s="1124"/>
    </row>
    <row r="7" spans="1:256" ht="113.25" customHeight="1">
      <c r="A7" s="1164" t="s">
        <v>1671</v>
      </c>
      <c r="B7" s="1307" t="s">
        <v>1672</v>
      </c>
      <c r="C7" s="1164" t="s">
        <v>1673</v>
      </c>
      <c r="D7" s="1164" t="s">
        <v>1674</v>
      </c>
      <c r="E7" s="1308" t="s">
        <v>1675</v>
      </c>
      <c r="F7" s="1309" t="s">
        <v>1676</v>
      </c>
      <c r="G7" s="1310" t="s">
        <v>1676</v>
      </c>
      <c r="H7" s="1311" t="s">
        <v>1677</v>
      </c>
      <c r="I7" s="1311"/>
      <c r="J7" s="1311"/>
      <c r="K7" s="1311"/>
      <c r="L7" s="1311"/>
      <c r="M7" s="1311"/>
      <c r="N7" s="1311"/>
      <c r="O7" s="1311" t="s">
        <v>1678</v>
      </c>
      <c r="P7" s="1311"/>
      <c r="Q7" s="1311"/>
      <c r="R7" s="1311"/>
      <c r="S7" s="1311"/>
      <c r="T7" s="1311"/>
      <c r="U7" s="1170" t="s">
        <v>1679</v>
      </c>
    </row>
    <row r="8" spans="1:256">
      <c r="A8" s="2226" t="s">
        <v>1680</v>
      </c>
      <c r="B8" s="2227"/>
      <c r="C8" s="1308"/>
      <c r="D8" s="1308"/>
      <c r="E8" s="1312"/>
      <c r="F8" s="1313"/>
      <c r="G8" s="1308"/>
      <c r="H8" s="1308"/>
      <c r="I8" s="1314"/>
      <c r="J8" s="1314"/>
      <c r="K8" s="1314"/>
      <c r="L8" s="1314"/>
      <c r="M8" s="1314"/>
      <c r="N8" s="1314"/>
      <c r="O8" s="1314"/>
      <c r="P8" s="1314"/>
      <c r="Q8" s="1314"/>
      <c r="R8" s="1314"/>
      <c r="S8" s="1314"/>
      <c r="T8" s="1314"/>
      <c r="U8" s="1315"/>
    </row>
    <row r="9" spans="1:256" ht="54" customHeight="1">
      <c r="A9" s="2228" t="s">
        <v>1681</v>
      </c>
      <c r="B9" s="2229" t="s">
        <v>1682</v>
      </c>
      <c r="C9" s="2228" t="s">
        <v>1683</v>
      </c>
      <c r="D9" s="2228" t="s">
        <v>1684</v>
      </c>
      <c r="E9" s="1316" t="s">
        <v>1685</v>
      </c>
      <c r="F9" s="1317">
        <f>2000*60</f>
        <v>120000</v>
      </c>
      <c r="G9" s="2230" t="s">
        <v>1548</v>
      </c>
      <c r="H9" s="2231" t="s">
        <v>1720</v>
      </c>
      <c r="I9" s="2233"/>
      <c r="J9" s="2235">
        <v>120000</v>
      </c>
      <c r="K9" s="2237">
        <v>8400</v>
      </c>
      <c r="L9" s="2237"/>
      <c r="M9" s="2237"/>
      <c r="N9" s="2237"/>
      <c r="O9" s="2237"/>
      <c r="P9" s="2237"/>
      <c r="Q9" s="2237"/>
      <c r="R9" s="2237"/>
      <c r="S9" s="2237"/>
      <c r="T9" s="2237"/>
      <c r="U9" s="2234" t="s">
        <v>1679</v>
      </c>
    </row>
    <row r="10" spans="1:256" ht="90" customHeight="1">
      <c r="A10" s="2228"/>
      <c r="B10" s="2229"/>
      <c r="C10" s="2228"/>
      <c r="D10" s="2228"/>
      <c r="E10" s="1318" t="s">
        <v>1686</v>
      </c>
      <c r="F10" s="1317">
        <f>4*5*420</f>
        <v>8400</v>
      </c>
      <c r="G10" s="2230"/>
      <c r="H10" s="2232"/>
      <c r="I10" s="2233"/>
      <c r="J10" s="2236"/>
      <c r="K10" s="2237"/>
      <c r="L10" s="2237"/>
      <c r="M10" s="2237"/>
      <c r="N10" s="2237"/>
      <c r="O10" s="2237"/>
      <c r="P10" s="2237"/>
      <c r="Q10" s="2237"/>
      <c r="R10" s="2237"/>
      <c r="S10" s="2237"/>
      <c r="T10" s="2237"/>
      <c r="U10" s="2234"/>
    </row>
    <row r="11" spans="1:256" ht="74.25" customHeight="1">
      <c r="A11" s="1308" t="s">
        <v>1687</v>
      </c>
      <c r="B11" s="1308" t="s">
        <v>1688</v>
      </c>
      <c r="C11" s="1308" t="s">
        <v>1689</v>
      </c>
      <c r="D11" s="1205" t="s">
        <v>1690</v>
      </c>
      <c r="E11" s="1308" t="s">
        <v>1675</v>
      </c>
      <c r="F11" s="1319" t="s">
        <v>1676</v>
      </c>
      <c r="G11" s="1310" t="s">
        <v>1676</v>
      </c>
      <c r="H11" s="1320" t="s">
        <v>1721</v>
      </c>
      <c r="I11" s="1321"/>
      <c r="J11" s="1321"/>
      <c r="K11" s="1321"/>
      <c r="L11" s="1321"/>
      <c r="M11" s="1322"/>
      <c r="N11" s="1322"/>
      <c r="O11" s="1322"/>
      <c r="P11" s="1321"/>
      <c r="Q11" s="1321"/>
      <c r="R11" s="1321"/>
      <c r="S11" s="1321"/>
      <c r="T11" s="1321"/>
      <c r="U11" s="1323"/>
    </row>
    <row r="12" spans="1:256" ht="72" customHeight="1">
      <c r="A12" s="1307" t="s">
        <v>1691</v>
      </c>
      <c r="B12" s="1307" t="s">
        <v>1692</v>
      </c>
      <c r="C12" s="1307" t="s">
        <v>1693</v>
      </c>
      <c r="D12" s="1307" t="s">
        <v>1694</v>
      </c>
      <c r="E12" s="1324" t="s">
        <v>1675</v>
      </c>
      <c r="F12" s="1319" t="s">
        <v>1676</v>
      </c>
      <c r="G12" s="1310" t="s">
        <v>1676</v>
      </c>
      <c r="H12" s="1320" t="s">
        <v>1721</v>
      </c>
      <c r="I12" s="1321"/>
      <c r="J12" s="1321"/>
      <c r="K12" s="1321"/>
      <c r="L12" s="1321"/>
      <c r="M12" s="1322"/>
      <c r="N12" s="1322"/>
      <c r="O12" s="1325"/>
      <c r="P12" s="1325"/>
      <c r="Q12" s="1325"/>
      <c r="R12" s="1325"/>
      <c r="S12" s="1325"/>
      <c r="T12" s="1325"/>
      <c r="U12" s="1326" t="s">
        <v>1679</v>
      </c>
    </row>
    <row r="13" spans="1:256" ht="73.5" customHeight="1">
      <c r="A13" s="1307" t="s">
        <v>1695</v>
      </c>
      <c r="B13" s="1307" t="s">
        <v>1696</v>
      </c>
      <c r="C13" s="1307" t="s">
        <v>1697</v>
      </c>
      <c r="D13" s="1307" t="s">
        <v>1698</v>
      </c>
      <c r="E13" s="1164" t="s">
        <v>1675</v>
      </c>
      <c r="F13" s="1319" t="s">
        <v>1676</v>
      </c>
      <c r="G13" s="1310" t="s">
        <v>1676</v>
      </c>
      <c r="H13" s="1320" t="s">
        <v>1721</v>
      </c>
      <c r="I13" s="1321"/>
      <c r="J13" s="1321"/>
      <c r="K13" s="1321"/>
      <c r="L13" s="1321"/>
      <c r="M13" s="1322"/>
      <c r="N13" s="1322"/>
      <c r="O13" s="1327"/>
      <c r="P13" s="1328"/>
      <c r="Q13" s="1329"/>
      <c r="R13" s="1327"/>
      <c r="S13" s="1330"/>
      <c r="T13" s="1327"/>
      <c r="U13" s="2240" t="s">
        <v>1679</v>
      </c>
    </row>
    <row r="14" spans="1:256" ht="93.75" customHeight="1">
      <c r="A14" s="1205" t="s">
        <v>1699</v>
      </c>
      <c r="B14" s="1205" t="s">
        <v>1700</v>
      </c>
      <c r="C14" s="1205" t="s">
        <v>1701</v>
      </c>
      <c r="D14" s="1205" t="s">
        <v>1702</v>
      </c>
      <c r="E14" s="1315" t="s">
        <v>1703</v>
      </c>
      <c r="F14" s="1331">
        <v>1500</v>
      </c>
      <c r="G14" s="1323"/>
      <c r="H14" s="1320" t="s">
        <v>1761</v>
      </c>
      <c r="I14" s="1325"/>
      <c r="J14" s="1325">
        <v>1500</v>
      </c>
      <c r="K14" s="1325"/>
      <c r="L14" s="1325"/>
      <c r="M14" s="1325"/>
      <c r="N14" s="1325"/>
      <c r="O14" s="1325"/>
      <c r="P14" s="1360"/>
      <c r="Q14" s="1361"/>
      <c r="R14" s="1325"/>
      <c r="S14" s="1322"/>
      <c r="T14" s="1325"/>
      <c r="U14" s="2241"/>
    </row>
    <row r="15" spans="1:256" s="1359" customFormat="1">
      <c r="A15" s="1349"/>
      <c r="B15" s="1349"/>
      <c r="C15" s="1349"/>
      <c r="D15" s="1349"/>
      <c r="E15" s="1350"/>
      <c r="F15" s="1351"/>
      <c r="G15" s="1352"/>
      <c r="H15" s="1353"/>
      <c r="I15" s="1354"/>
      <c r="J15" s="1354"/>
      <c r="K15" s="1354"/>
      <c r="L15" s="1354"/>
      <c r="M15" s="1354"/>
      <c r="N15" s="1354"/>
      <c r="O15" s="1354"/>
      <c r="P15" s="1355"/>
      <c r="Q15" s="1356"/>
      <c r="R15" s="1354"/>
      <c r="S15" s="1357"/>
      <c r="T15" s="1354"/>
      <c r="U15" s="1358"/>
    </row>
    <row r="16" spans="1:256" s="1359" customFormat="1">
      <c r="A16" s="1349"/>
      <c r="B16" s="1349"/>
      <c r="C16" s="1349"/>
      <c r="D16" s="1349"/>
      <c r="E16" s="1350"/>
      <c r="F16" s="1351"/>
      <c r="G16" s="1352"/>
      <c r="H16" s="1353"/>
      <c r="I16" s="1354"/>
      <c r="J16" s="1354"/>
      <c r="K16" s="1354"/>
      <c r="L16" s="1354"/>
      <c r="M16" s="1354"/>
      <c r="N16" s="1354"/>
      <c r="O16" s="1354"/>
      <c r="P16" s="1355"/>
      <c r="Q16" s="1356"/>
      <c r="R16" s="1354"/>
      <c r="S16" s="1357"/>
      <c r="T16" s="1354"/>
      <c r="U16" s="1358"/>
    </row>
    <row r="17" spans="1:21" s="1359" customFormat="1">
      <c r="A17" s="1349"/>
      <c r="B17" s="1349"/>
      <c r="C17" s="1349"/>
      <c r="D17" s="1349"/>
      <c r="E17" s="1350"/>
      <c r="F17" s="1351"/>
      <c r="G17" s="1352"/>
      <c r="H17" s="1353"/>
      <c r="I17" s="1354"/>
      <c r="J17" s="1354"/>
      <c r="K17" s="1354"/>
      <c r="L17" s="1354"/>
      <c r="M17" s="1354"/>
      <c r="N17" s="1354"/>
      <c r="O17" s="1354"/>
      <c r="P17" s="1355"/>
      <c r="Q17" s="1356"/>
      <c r="R17" s="1354"/>
      <c r="S17" s="1357"/>
      <c r="T17" s="1354"/>
      <c r="U17" s="1358"/>
    </row>
    <row r="18" spans="1:21" s="1359" customFormat="1">
      <c r="A18" s="1349"/>
      <c r="B18" s="1349"/>
      <c r="C18" s="1349"/>
      <c r="D18" s="1349"/>
      <c r="E18" s="1350"/>
      <c r="F18" s="1351"/>
      <c r="G18" s="1352"/>
      <c r="H18" s="1353"/>
      <c r="I18" s="1354"/>
      <c r="J18" s="1354"/>
      <c r="K18" s="1354"/>
      <c r="L18" s="1354"/>
      <c r="M18" s="1354"/>
      <c r="N18" s="1354"/>
      <c r="O18" s="1354"/>
      <c r="P18" s="1355"/>
      <c r="Q18" s="1356"/>
      <c r="R18" s="1354"/>
      <c r="S18" s="1357"/>
      <c r="T18" s="1354"/>
      <c r="U18" s="1358"/>
    </row>
    <row r="19" spans="1:21" s="1359" customFormat="1">
      <c r="A19" s="1349"/>
      <c r="B19" s="1349"/>
      <c r="C19" s="1349"/>
      <c r="D19" s="1349"/>
      <c r="E19" s="1350"/>
      <c r="F19" s="1351"/>
      <c r="G19" s="1352"/>
      <c r="H19" s="1353"/>
      <c r="I19" s="1354"/>
      <c r="J19" s="1354"/>
      <c r="K19" s="1354"/>
      <c r="L19" s="1354"/>
      <c r="M19" s="1354"/>
      <c r="N19" s="1354"/>
      <c r="O19" s="1354"/>
      <c r="P19" s="1355"/>
      <c r="Q19" s="1356"/>
      <c r="R19" s="1354"/>
      <c r="S19" s="1357"/>
      <c r="T19" s="1354"/>
      <c r="U19" s="1358"/>
    </row>
    <row r="20" spans="1:21" s="1359" customFormat="1">
      <c r="A20" s="1349"/>
      <c r="B20" s="1349"/>
      <c r="C20" s="1349"/>
      <c r="D20" s="1349"/>
      <c r="E20" s="1350"/>
      <c r="F20" s="1351"/>
      <c r="G20" s="1352"/>
      <c r="H20" s="1353"/>
      <c r="I20" s="1354"/>
      <c r="J20" s="1354"/>
      <c r="K20" s="1354"/>
      <c r="L20" s="1354"/>
      <c r="M20" s="1354"/>
      <c r="N20" s="1354"/>
      <c r="O20" s="1354"/>
      <c r="P20" s="1355"/>
      <c r="Q20" s="1356"/>
      <c r="R20" s="1354"/>
      <c r="S20" s="1357"/>
      <c r="T20" s="1354"/>
      <c r="U20" s="1358"/>
    </row>
    <row r="21" spans="1:21" s="1359" customFormat="1">
      <c r="A21" s="1349"/>
      <c r="B21" s="1349"/>
      <c r="C21" s="1349"/>
      <c r="D21" s="1349"/>
      <c r="E21" s="1350"/>
      <c r="F21" s="1351"/>
      <c r="G21" s="1352"/>
      <c r="H21" s="1353"/>
      <c r="I21" s="1354"/>
      <c r="J21" s="1354"/>
      <c r="K21" s="1354"/>
      <c r="L21" s="1354"/>
      <c r="M21" s="1354"/>
      <c r="N21" s="1354"/>
      <c r="O21" s="1354"/>
      <c r="P21" s="1355"/>
      <c r="Q21" s="1356"/>
      <c r="R21" s="1354"/>
      <c r="S21" s="1357"/>
      <c r="T21" s="1354"/>
      <c r="U21" s="1358"/>
    </row>
    <row r="22" spans="1:21" s="1359" customFormat="1">
      <c r="A22" s="1349"/>
      <c r="B22" s="1349"/>
      <c r="C22" s="1349"/>
      <c r="D22" s="1349"/>
      <c r="E22" s="1350"/>
      <c r="F22" s="1351"/>
      <c r="G22" s="1352"/>
      <c r="H22" s="1353"/>
      <c r="I22" s="1354"/>
      <c r="J22" s="1354"/>
      <c r="K22" s="1354"/>
      <c r="L22" s="1354"/>
      <c r="M22" s="1354"/>
      <c r="N22" s="1354"/>
      <c r="O22" s="1354"/>
      <c r="P22" s="1355"/>
      <c r="Q22" s="1356"/>
      <c r="R22" s="1354"/>
      <c r="S22" s="1357"/>
      <c r="T22" s="1354"/>
      <c r="U22" s="1358"/>
    </row>
    <row r="23" spans="1:21" s="1359" customFormat="1">
      <c r="A23" s="1349"/>
      <c r="B23" s="1349"/>
      <c r="C23" s="1349"/>
      <c r="D23" s="1349"/>
      <c r="E23" s="1350"/>
      <c r="F23" s="1351"/>
      <c r="G23" s="1352"/>
      <c r="H23" s="1353"/>
      <c r="I23" s="1354"/>
      <c r="J23" s="1354"/>
      <c r="K23" s="1354"/>
      <c r="L23" s="1354"/>
      <c r="M23" s="1354"/>
      <c r="N23" s="1354"/>
      <c r="O23" s="1354"/>
      <c r="P23" s="1355"/>
      <c r="Q23" s="1356"/>
      <c r="R23" s="1354"/>
      <c r="S23" s="1357"/>
      <c r="T23" s="1354"/>
      <c r="U23" s="1358"/>
    </row>
    <row r="24" spans="1:21" s="1359" customFormat="1">
      <c r="A24" s="1349"/>
      <c r="B24" s="1349"/>
      <c r="C24" s="1349"/>
      <c r="D24" s="1349"/>
      <c r="E24" s="1350"/>
      <c r="F24" s="1351"/>
      <c r="G24" s="1352"/>
      <c r="H24" s="1353"/>
      <c r="I24" s="1354"/>
      <c r="J24" s="1354"/>
      <c r="K24" s="1354"/>
      <c r="L24" s="1354"/>
      <c r="M24" s="1354"/>
      <c r="N24" s="1354"/>
      <c r="O24" s="1354"/>
      <c r="P24" s="1355"/>
      <c r="Q24" s="1356"/>
      <c r="R24" s="1354"/>
      <c r="S24" s="1357"/>
      <c r="T24" s="1354"/>
      <c r="U24" s="1358"/>
    </row>
    <row r="25" spans="1:21" s="1359" customFormat="1">
      <c r="A25" s="1349"/>
      <c r="B25" s="1349"/>
      <c r="C25" s="1349"/>
      <c r="D25" s="1349"/>
      <c r="E25" s="1350"/>
      <c r="F25" s="1351"/>
      <c r="G25" s="1352"/>
      <c r="H25" s="1353"/>
      <c r="I25" s="1354"/>
      <c r="J25" s="1354"/>
      <c r="K25" s="1354"/>
      <c r="L25" s="1354"/>
      <c r="M25" s="1354"/>
      <c r="N25" s="1354"/>
      <c r="O25" s="1354"/>
      <c r="P25" s="1355"/>
      <c r="Q25" s="1356"/>
      <c r="R25" s="1354"/>
      <c r="S25" s="1357"/>
      <c r="T25" s="1354"/>
      <c r="U25" s="1358"/>
    </row>
    <row r="26" spans="1:21" s="1217" customFormat="1">
      <c r="A26" s="2243" t="s">
        <v>1762</v>
      </c>
      <c r="B26" s="2243"/>
      <c r="C26" s="2243"/>
      <c r="D26" s="2243"/>
      <c r="E26" s="2243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8"/>
    </row>
    <row r="27" spans="1:21" s="1217" customFormat="1" ht="56.25">
      <c r="A27" s="2148" t="s">
        <v>1723</v>
      </c>
      <c r="B27" s="2148" t="s">
        <v>1704</v>
      </c>
      <c r="C27" s="2148" t="s">
        <v>1705</v>
      </c>
      <c r="D27" s="2148" t="s">
        <v>1706</v>
      </c>
      <c r="E27" s="1230" t="s">
        <v>1707</v>
      </c>
      <c r="F27" s="1219">
        <v>1200</v>
      </c>
      <c r="G27" s="2151" t="s">
        <v>1600</v>
      </c>
      <c r="H27" s="2153" t="s">
        <v>1722</v>
      </c>
      <c r="I27" s="1232"/>
      <c r="J27" s="1232"/>
      <c r="K27" s="1232"/>
      <c r="L27" s="1232"/>
      <c r="M27" s="1337"/>
      <c r="N27" s="1337"/>
      <c r="O27" s="1337"/>
      <c r="P27" s="1337"/>
      <c r="Q27" s="1337"/>
      <c r="R27" s="2155">
        <v>2800</v>
      </c>
      <c r="S27" s="1232"/>
      <c r="T27" s="1232"/>
      <c r="U27" s="2238" t="s">
        <v>1708</v>
      </c>
    </row>
    <row r="28" spans="1:21" s="1217" customFormat="1" ht="213.75" customHeight="1">
      <c r="A28" s="2149"/>
      <c r="B28" s="2149"/>
      <c r="C28" s="2149"/>
      <c r="D28" s="2149"/>
      <c r="E28" s="1230" t="s">
        <v>1709</v>
      </c>
      <c r="F28" s="1219">
        <v>1600</v>
      </c>
      <c r="G28" s="2152"/>
      <c r="H28" s="2154"/>
      <c r="I28" s="1338"/>
      <c r="J28" s="1338"/>
      <c r="K28" s="1338"/>
      <c r="L28" s="1338"/>
      <c r="M28" s="1338"/>
      <c r="N28" s="1338"/>
      <c r="O28" s="1338"/>
      <c r="P28" s="1338"/>
      <c r="Q28" s="1338"/>
      <c r="R28" s="2156"/>
      <c r="S28" s="1338"/>
      <c r="T28" s="1338"/>
      <c r="U28" s="2239"/>
    </row>
    <row r="29" spans="1:21" ht="40.5">
      <c r="A29" s="2242"/>
      <c r="B29" s="2242"/>
      <c r="C29" s="2242"/>
      <c r="D29" s="2242"/>
      <c r="E29" s="1332" t="s">
        <v>139</v>
      </c>
      <c r="F29" s="1333">
        <f>SUM(F7:F28)</f>
        <v>132700</v>
      </c>
      <c r="G29" s="1334"/>
      <c r="H29" s="1335"/>
      <c r="I29" s="1336">
        <f>SUM(I7:I28)</f>
        <v>0</v>
      </c>
      <c r="J29" s="1336">
        <f t="shared" ref="J29:T29" si="0">SUM(J7:J28)</f>
        <v>121500</v>
      </c>
      <c r="K29" s="1336">
        <f t="shared" si="0"/>
        <v>8400</v>
      </c>
      <c r="L29" s="1336">
        <f t="shared" si="0"/>
        <v>0</v>
      </c>
      <c r="M29" s="1336">
        <f t="shared" si="0"/>
        <v>0</v>
      </c>
      <c r="N29" s="1336">
        <f t="shared" si="0"/>
        <v>0</v>
      </c>
      <c r="O29" s="1336">
        <f t="shared" si="0"/>
        <v>0</v>
      </c>
      <c r="P29" s="1336">
        <f t="shared" si="0"/>
        <v>0</v>
      </c>
      <c r="Q29" s="1336">
        <f t="shared" si="0"/>
        <v>0</v>
      </c>
      <c r="R29" s="1336">
        <f t="shared" si="0"/>
        <v>2800</v>
      </c>
      <c r="S29" s="1336">
        <f t="shared" si="0"/>
        <v>0</v>
      </c>
      <c r="T29" s="1336">
        <f t="shared" si="0"/>
        <v>0</v>
      </c>
      <c r="U29" s="1335"/>
    </row>
  </sheetData>
  <mergeCells count="43">
    <mergeCell ref="U27:U28"/>
    <mergeCell ref="U13:U14"/>
    <mergeCell ref="A29:D29"/>
    <mergeCell ref="A26:E26"/>
    <mergeCell ref="A27:A28"/>
    <mergeCell ref="B27:B28"/>
    <mergeCell ref="C27:C28"/>
    <mergeCell ref="D27:D28"/>
    <mergeCell ref="G27:G28"/>
    <mergeCell ref="H27:H28"/>
    <mergeCell ref="R27:R28"/>
    <mergeCell ref="G9:G10"/>
    <mergeCell ref="H9:H10"/>
    <mergeCell ref="I9:I10"/>
    <mergeCell ref="U9:U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A8:B8"/>
    <mergeCell ref="A9:A10"/>
    <mergeCell ref="B9:B10"/>
    <mergeCell ref="C9:C10"/>
    <mergeCell ref="D9:D10"/>
    <mergeCell ref="A1:U1"/>
    <mergeCell ref="A2:U2"/>
    <mergeCell ref="A3:U3"/>
    <mergeCell ref="A4:U4"/>
    <mergeCell ref="A5:A6"/>
    <mergeCell ref="B5:B6"/>
    <mergeCell ref="C5:C6"/>
    <mergeCell ref="D5:D6"/>
    <mergeCell ref="E5:G5"/>
    <mergeCell ref="H5:H6"/>
    <mergeCell ref="I5:T5"/>
    <mergeCell ref="U5:U6"/>
  </mergeCells>
  <pageMargins left="0.39370078740157483" right="0.39370078740157483" top="0.98425196850393704" bottom="0.39370078740157483" header="0.31496062992125984" footer="0.31496062992125984"/>
  <pageSetup paperSize="9" firstPageNumber="121" orientation="landscape" useFirstPageNumber="1" r:id="rId1"/>
  <headerFooter>
    <oddFooter>&amp;R&amp;8&amp;P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3"/>
  <sheetViews>
    <sheetView view="pageLayout" zoomScaleNormal="100" zoomScaleSheetLayoutView="100" workbookViewId="0">
      <selection activeCell="B7" sqref="B7:C7"/>
    </sheetView>
  </sheetViews>
  <sheetFormatPr defaultRowHeight="20.25"/>
  <cols>
    <col min="1" max="1" width="15.375" style="1128" customWidth="1"/>
    <col min="2" max="4" width="11.375" style="1128" customWidth="1"/>
    <col min="5" max="5" width="17.875" style="1128" customWidth="1"/>
    <col min="6" max="6" width="6.75" style="1091" customWidth="1"/>
    <col min="7" max="7" width="3.5" style="1128" customWidth="1"/>
    <col min="8" max="8" width="6.625" style="1128" customWidth="1"/>
    <col min="9" max="20" width="3.25" style="1091" customWidth="1"/>
    <col min="21" max="21" width="7.125" style="1128" customWidth="1"/>
    <col min="22" max="246" width="9" style="1128"/>
    <col min="247" max="247" width="16.75" style="1128" customWidth="1"/>
    <col min="248" max="248" width="12.75" style="1128" customWidth="1"/>
    <col min="249" max="249" width="11.75" style="1128" customWidth="1"/>
    <col min="250" max="250" width="11.25" style="1128" customWidth="1"/>
    <col min="251" max="251" width="22.25" style="1128" customWidth="1"/>
    <col min="252" max="252" width="10.25" style="1128" customWidth="1"/>
    <col min="253" max="253" width="4.25" style="1128" customWidth="1"/>
    <col min="254" max="254" width="7.875" style="1128" customWidth="1"/>
    <col min="255" max="266" width="4" style="1128" customWidth="1"/>
    <col min="267" max="267" width="12.75" style="1128" customWidth="1"/>
    <col min="268" max="502" width="9" style="1128"/>
    <col min="503" max="503" width="16.75" style="1128" customWidth="1"/>
    <col min="504" max="504" width="12.75" style="1128" customWidth="1"/>
    <col min="505" max="505" width="11.75" style="1128" customWidth="1"/>
    <col min="506" max="506" width="11.25" style="1128" customWidth="1"/>
    <col min="507" max="507" width="22.25" style="1128" customWidth="1"/>
    <col min="508" max="508" width="10.25" style="1128" customWidth="1"/>
    <col min="509" max="509" width="4.25" style="1128" customWidth="1"/>
    <col min="510" max="510" width="7.875" style="1128" customWidth="1"/>
    <col min="511" max="522" width="4" style="1128" customWidth="1"/>
    <col min="523" max="523" width="12.75" style="1128" customWidth="1"/>
    <col min="524" max="758" width="9" style="1128"/>
    <col min="759" max="759" width="16.75" style="1128" customWidth="1"/>
    <col min="760" max="760" width="12.75" style="1128" customWidth="1"/>
    <col min="761" max="761" width="11.75" style="1128" customWidth="1"/>
    <col min="762" max="762" width="11.25" style="1128" customWidth="1"/>
    <col min="763" max="763" width="22.25" style="1128" customWidth="1"/>
    <col min="764" max="764" width="10.25" style="1128" customWidth="1"/>
    <col min="765" max="765" width="4.25" style="1128" customWidth="1"/>
    <col min="766" max="766" width="7.875" style="1128" customWidth="1"/>
    <col min="767" max="778" width="4" style="1128" customWidth="1"/>
    <col min="779" max="779" width="12.75" style="1128" customWidth="1"/>
    <col min="780" max="1014" width="9" style="1128"/>
    <col min="1015" max="1015" width="16.75" style="1128" customWidth="1"/>
    <col min="1016" max="1016" width="12.75" style="1128" customWidth="1"/>
    <col min="1017" max="1017" width="11.75" style="1128" customWidth="1"/>
    <col min="1018" max="1018" width="11.25" style="1128" customWidth="1"/>
    <col min="1019" max="1019" width="22.25" style="1128" customWidth="1"/>
    <col min="1020" max="1020" width="10.25" style="1128" customWidth="1"/>
    <col min="1021" max="1021" width="4.25" style="1128" customWidth="1"/>
    <col min="1022" max="1022" width="7.875" style="1128" customWidth="1"/>
    <col min="1023" max="1034" width="4" style="1128" customWidth="1"/>
    <col min="1035" max="1035" width="12.75" style="1128" customWidth="1"/>
    <col min="1036" max="1270" width="9" style="1128"/>
    <col min="1271" max="1271" width="16.75" style="1128" customWidth="1"/>
    <col min="1272" max="1272" width="12.75" style="1128" customWidth="1"/>
    <col min="1273" max="1273" width="11.75" style="1128" customWidth="1"/>
    <col min="1274" max="1274" width="11.25" style="1128" customWidth="1"/>
    <col min="1275" max="1275" width="22.25" style="1128" customWidth="1"/>
    <col min="1276" max="1276" width="10.25" style="1128" customWidth="1"/>
    <col min="1277" max="1277" width="4.25" style="1128" customWidth="1"/>
    <col min="1278" max="1278" width="7.875" style="1128" customWidth="1"/>
    <col min="1279" max="1290" width="4" style="1128" customWidth="1"/>
    <col min="1291" max="1291" width="12.75" style="1128" customWidth="1"/>
    <col min="1292" max="1526" width="9" style="1128"/>
    <col min="1527" max="1527" width="16.75" style="1128" customWidth="1"/>
    <col min="1528" max="1528" width="12.75" style="1128" customWidth="1"/>
    <col min="1529" max="1529" width="11.75" style="1128" customWidth="1"/>
    <col min="1530" max="1530" width="11.25" style="1128" customWidth="1"/>
    <col min="1531" max="1531" width="22.25" style="1128" customWidth="1"/>
    <col min="1532" max="1532" width="10.25" style="1128" customWidth="1"/>
    <col min="1533" max="1533" width="4.25" style="1128" customWidth="1"/>
    <col min="1534" max="1534" width="7.875" style="1128" customWidth="1"/>
    <col min="1535" max="1546" width="4" style="1128" customWidth="1"/>
    <col min="1547" max="1547" width="12.75" style="1128" customWidth="1"/>
    <col min="1548" max="1782" width="9" style="1128"/>
    <col min="1783" max="1783" width="16.75" style="1128" customWidth="1"/>
    <col min="1784" max="1784" width="12.75" style="1128" customWidth="1"/>
    <col min="1785" max="1785" width="11.75" style="1128" customWidth="1"/>
    <col min="1786" max="1786" width="11.25" style="1128" customWidth="1"/>
    <col min="1787" max="1787" width="22.25" style="1128" customWidth="1"/>
    <col min="1788" max="1788" width="10.25" style="1128" customWidth="1"/>
    <col min="1789" max="1789" width="4.25" style="1128" customWidth="1"/>
    <col min="1790" max="1790" width="7.875" style="1128" customWidth="1"/>
    <col min="1791" max="1802" width="4" style="1128" customWidth="1"/>
    <col min="1803" max="1803" width="12.75" style="1128" customWidth="1"/>
    <col min="1804" max="2038" width="9" style="1128"/>
    <col min="2039" max="2039" width="16.75" style="1128" customWidth="1"/>
    <col min="2040" max="2040" width="12.75" style="1128" customWidth="1"/>
    <col min="2041" max="2041" width="11.75" style="1128" customWidth="1"/>
    <col min="2042" max="2042" width="11.25" style="1128" customWidth="1"/>
    <col min="2043" max="2043" width="22.25" style="1128" customWidth="1"/>
    <col min="2044" max="2044" width="10.25" style="1128" customWidth="1"/>
    <col min="2045" max="2045" width="4.25" style="1128" customWidth="1"/>
    <col min="2046" max="2046" width="7.875" style="1128" customWidth="1"/>
    <col min="2047" max="2058" width="4" style="1128" customWidth="1"/>
    <col min="2059" max="2059" width="12.75" style="1128" customWidth="1"/>
    <col min="2060" max="2294" width="9" style="1128"/>
    <col min="2295" max="2295" width="16.75" style="1128" customWidth="1"/>
    <col min="2296" max="2296" width="12.75" style="1128" customWidth="1"/>
    <col min="2297" max="2297" width="11.75" style="1128" customWidth="1"/>
    <col min="2298" max="2298" width="11.25" style="1128" customWidth="1"/>
    <col min="2299" max="2299" width="22.25" style="1128" customWidth="1"/>
    <col min="2300" max="2300" width="10.25" style="1128" customWidth="1"/>
    <col min="2301" max="2301" width="4.25" style="1128" customWidth="1"/>
    <col min="2302" max="2302" width="7.875" style="1128" customWidth="1"/>
    <col min="2303" max="2314" width="4" style="1128" customWidth="1"/>
    <col min="2315" max="2315" width="12.75" style="1128" customWidth="1"/>
    <col min="2316" max="2550" width="9" style="1128"/>
    <col min="2551" max="2551" width="16.75" style="1128" customWidth="1"/>
    <col min="2552" max="2552" width="12.75" style="1128" customWidth="1"/>
    <col min="2553" max="2553" width="11.75" style="1128" customWidth="1"/>
    <col min="2554" max="2554" width="11.25" style="1128" customWidth="1"/>
    <col min="2555" max="2555" width="22.25" style="1128" customWidth="1"/>
    <col min="2556" max="2556" width="10.25" style="1128" customWidth="1"/>
    <col min="2557" max="2557" width="4.25" style="1128" customWidth="1"/>
    <col min="2558" max="2558" width="7.875" style="1128" customWidth="1"/>
    <col min="2559" max="2570" width="4" style="1128" customWidth="1"/>
    <col min="2571" max="2571" width="12.75" style="1128" customWidth="1"/>
    <col min="2572" max="2806" width="9" style="1128"/>
    <col min="2807" max="2807" width="16.75" style="1128" customWidth="1"/>
    <col min="2808" max="2808" width="12.75" style="1128" customWidth="1"/>
    <col min="2809" max="2809" width="11.75" style="1128" customWidth="1"/>
    <col min="2810" max="2810" width="11.25" style="1128" customWidth="1"/>
    <col min="2811" max="2811" width="22.25" style="1128" customWidth="1"/>
    <col min="2812" max="2812" width="10.25" style="1128" customWidth="1"/>
    <col min="2813" max="2813" width="4.25" style="1128" customWidth="1"/>
    <col min="2814" max="2814" width="7.875" style="1128" customWidth="1"/>
    <col min="2815" max="2826" width="4" style="1128" customWidth="1"/>
    <col min="2827" max="2827" width="12.75" style="1128" customWidth="1"/>
    <col min="2828" max="3062" width="9" style="1128"/>
    <col min="3063" max="3063" width="16.75" style="1128" customWidth="1"/>
    <col min="3064" max="3064" width="12.75" style="1128" customWidth="1"/>
    <col min="3065" max="3065" width="11.75" style="1128" customWidth="1"/>
    <col min="3066" max="3066" width="11.25" style="1128" customWidth="1"/>
    <col min="3067" max="3067" width="22.25" style="1128" customWidth="1"/>
    <col min="3068" max="3068" width="10.25" style="1128" customWidth="1"/>
    <col min="3069" max="3069" width="4.25" style="1128" customWidth="1"/>
    <col min="3070" max="3070" width="7.875" style="1128" customWidth="1"/>
    <col min="3071" max="3082" width="4" style="1128" customWidth="1"/>
    <col min="3083" max="3083" width="12.75" style="1128" customWidth="1"/>
    <col min="3084" max="3318" width="9" style="1128"/>
    <col min="3319" max="3319" width="16.75" style="1128" customWidth="1"/>
    <col min="3320" max="3320" width="12.75" style="1128" customWidth="1"/>
    <col min="3321" max="3321" width="11.75" style="1128" customWidth="1"/>
    <col min="3322" max="3322" width="11.25" style="1128" customWidth="1"/>
    <col min="3323" max="3323" width="22.25" style="1128" customWidth="1"/>
    <col min="3324" max="3324" width="10.25" style="1128" customWidth="1"/>
    <col min="3325" max="3325" width="4.25" style="1128" customWidth="1"/>
    <col min="3326" max="3326" width="7.875" style="1128" customWidth="1"/>
    <col min="3327" max="3338" width="4" style="1128" customWidth="1"/>
    <col min="3339" max="3339" width="12.75" style="1128" customWidth="1"/>
    <col min="3340" max="3574" width="9" style="1128"/>
    <col min="3575" max="3575" width="16.75" style="1128" customWidth="1"/>
    <col min="3576" max="3576" width="12.75" style="1128" customWidth="1"/>
    <col min="3577" max="3577" width="11.75" style="1128" customWidth="1"/>
    <col min="3578" max="3578" width="11.25" style="1128" customWidth="1"/>
    <col min="3579" max="3579" width="22.25" style="1128" customWidth="1"/>
    <col min="3580" max="3580" width="10.25" style="1128" customWidth="1"/>
    <col min="3581" max="3581" width="4.25" style="1128" customWidth="1"/>
    <col min="3582" max="3582" width="7.875" style="1128" customWidth="1"/>
    <col min="3583" max="3594" width="4" style="1128" customWidth="1"/>
    <col min="3595" max="3595" width="12.75" style="1128" customWidth="1"/>
    <col min="3596" max="3830" width="9" style="1128"/>
    <col min="3831" max="3831" width="16.75" style="1128" customWidth="1"/>
    <col min="3832" max="3832" width="12.75" style="1128" customWidth="1"/>
    <col min="3833" max="3833" width="11.75" style="1128" customWidth="1"/>
    <col min="3834" max="3834" width="11.25" style="1128" customWidth="1"/>
    <col min="3835" max="3835" width="22.25" style="1128" customWidth="1"/>
    <col min="3836" max="3836" width="10.25" style="1128" customWidth="1"/>
    <col min="3837" max="3837" width="4.25" style="1128" customWidth="1"/>
    <col min="3838" max="3838" width="7.875" style="1128" customWidth="1"/>
    <col min="3839" max="3850" width="4" style="1128" customWidth="1"/>
    <col min="3851" max="3851" width="12.75" style="1128" customWidth="1"/>
    <col min="3852" max="4086" width="9" style="1128"/>
    <col min="4087" max="4087" width="16.75" style="1128" customWidth="1"/>
    <col min="4088" max="4088" width="12.75" style="1128" customWidth="1"/>
    <col min="4089" max="4089" width="11.75" style="1128" customWidth="1"/>
    <col min="4090" max="4090" width="11.25" style="1128" customWidth="1"/>
    <col min="4091" max="4091" width="22.25" style="1128" customWidth="1"/>
    <col min="4092" max="4092" width="10.25" style="1128" customWidth="1"/>
    <col min="4093" max="4093" width="4.25" style="1128" customWidth="1"/>
    <col min="4094" max="4094" width="7.875" style="1128" customWidth="1"/>
    <col min="4095" max="4106" width="4" style="1128" customWidth="1"/>
    <col min="4107" max="4107" width="12.75" style="1128" customWidth="1"/>
    <col min="4108" max="4342" width="9" style="1128"/>
    <col min="4343" max="4343" width="16.75" style="1128" customWidth="1"/>
    <col min="4344" max="4344" width="12.75" style="1128" customWidth="1"/>
    <col min="4345" max="4345" width="11.75" style="1128" customWidth="1"/>
    <col min="4346" max="4346" width="11.25" style="1128" customWidth="1"/>
    <col min="4347" max="4347" width="22.25" style="1128" customWidth="1"/>
    <col min="4348" max="4348" width="10.25" style="1128" customWidth="1"/>
    <col min="4349" max="4349" width="4.25" style="1128" customWidth="1"/>
    <col min="4350" max="4350" width="7.875" style="1128" customWidth="1"/>
    <col min="4351" max="4362" width="4" style="1128" customWidth="1"/>
    <col min="4363" max="4363" width="12.75" style="1128" customWidth="1"/>
    <col min="4364" max="4598" width="9" style="1128"/>
    <col min="4599" max="4599" width="16.75" style="1128" customWidth="1"/>
    <col min="4600" max="4600" width="12.75" style="1128" customWidth="1"/>
    <col min="4601" max="4601" width="11.75" style="1128" customWidth="1"/>
    <col min="4602" max="4602" width="11.25" style="1128" customWidth="1"/>
    <col min="4603" max="4603" width="22.25" style="1128" customWidth="1"/>
    <col min="4604" max="4604" width="10.25" style="1128" customWidth="1"/>
    <col min="4605" max="4605" width="4.25" style="1128" customWidth="1"/>
    <col min="4606" max="4606" width="7.875" style="1128" customWidth="1"/>
    <col min="4607" max="4618" width="4" style="1128" customWidth="1"/>
    <col min="4619" max="4619" width="12.75" style="1128" customWidth="1"/>
    <col min="4620" max="4854" width="9" style="1128"/>
    <col min="4855" max="4855" width="16.75" style="1128" customWidth="1"/>
    <col min="4856" max="4856" width="12.75" style="1128" customWidth="1"/>
    <col min="4857" max="4857" width="11.75" style="1128" customWidth="1"/>
    <col min="4858" max="4858" width="11.25" style="1128" customWidth="1"/>
    <col min="4859" max="4859" width="22.25" style="1128" customWidth="1"/>
    <col min="4860" max="4860" width="10.25" style="1128" customWidth="1"/>
    <col min="4861" max="4861" width="4.25" style="1128" customWidth="1"/>
    <col min="4862" max="4862" width="7.875" style="1128" customWidth="1"/>
    <col min="4863" max="4874" width="4" style="1128" customWidth="1"/>
    <col min="4875" max="4875" width="12.75" style="1128" customWidth="1"/>
    <col min="4876" max="5110" width="9" style="1128"/>
    <col min="5111" max="5111" width="16.75" style="1128" customWidth="1"/>
    <col min="5112" max="5112" width="12.75" style="1128" customWidth="1"/>
    <col min="5113" max="5113" width="11.75" style="1128" customWidth="1"/>
    <col min="5114" max="5114" width="11.25" style="1128" customWidth="1"/>
    <col min="5115" max="5115" width="22.25" style="1128" customWidth="1"/>
    <col min="5116" max="5116" width="10.25" style="1128" customWidth="1"/>
    <col min="5117" max="5117" width="4.25" style="1128" customWidth="1"/>
    <col min="5118" max="5118" width="7.875" style="1128" customWidth="1"/>
    <col min="5119" max="5130" width="4" style="1128" customWidth="1"/>
    <col min="5131" max="5131" width="12.75" style="1128" customWidth="1"/>
    <col min="5132" max="5366" width="9" style="1128"/>
    <col min="5367" max="5367" width="16.75" style="1128" customWidth="1"/>
    <col min="5368" max="5368" width="12.75" style="1128" customWidth="1"/>
    <col min="5369" max="5369" width="11.75" style="1128" customWidth="1"/>
    <col min="5370" max="5370" width="11.25" style="1128" customWidth="1"/>
    <col min="5371" max="5371" width="22.25" style="1128" customWidth="1"/>
    <col min="5372" max="5372" width="10.25" style="1128" customWidth="1"/>
    <col min="5373" max="5373" width="4.25" style="1128" customWidth="1"/>
    <col min="5374" max="5374" width="7.875" style="1128" customWidth="1"/>
    <col min="5375" max="5386" width="4" style="1128" customWidth="1"/>
    <col min="5387" max="5387" width="12.75" style="1128" customWidth="1"/>
    <col min="5388" max="5622" width="9" style="1128"/>
    <col min="5623" max="5623" width="16.75" style="1128" customWidth="1"/>
    <col min="5624" max="5624" width="12.75" style="1128" customWidth="1"/>
    <col min="5625" max="5625" width="11.75" style="1128" customWidth="1"/>
    <col min="5626" max="5626" width="11.25" style="1128" customWidth="1"/>
    <col min="5627" max="5627" width="22.25" style="1128" customWidth="1"/>
    <col min="5628" max="5628" width="10.25" style="1128" customWidth="1"/>
    <col min="5629" max="5629" width="4.25" style="1128" customWidth="1"/>
    <col min="5630" max="5630" width="7.875" style="1128" customWidth="1"/>
    <col min="5631" max="5642" width="4" style="1128" customWidth="1"/>
    <col min="5643" max="5643" width="12.75" style="1128" customWidth="1"/>
    <col min="5644" max="5878" width="9" style="1128"/>
    <col min="5879" max="5879" width="16.75" style="1128" customWidth="1"/>
    <col min="5880" max="5880" width="12.75" style="1128" customWidth="1"/>
    <col min="5881" max="5881" width="11.75" style="1128" customWidth="1"/>
    <col min="5882" max="5882" width="11.25" style="1128" customWidth="1"/>
    <col min="5883" max="5883" width="22.25" style="1128" customWidth="1"/>
    <col min="5884" max="5884" width="10.25" style="1128" customWidth="1"/>
    <col min="5885" max="5885" width="4.25" style="1128" customWidth="1"/>
    <col min="5886" max="5886" width="7.875" style="1128" customWidth="1"/>
    <col min="5887" max="5898" width="4" style="1128" customWidth="1"/>
    <col min="5899" max="5899" width="12.75" style="1128" customWidth="1"/>
    <col min="5900" max="6134" width="9" style="1128"/>
    <col min="6135" max="6135" width="16.75" style="1128" customWidth="1"/>
    <col min="6136" max="6136" width="12.75" style="1128" customWidth="1"/>
    <col min="6137" max="6137" width="11.75" style="1128" customWidth="1"/>
    <col min="6138" max="6138" width="11.25" style="1128" customWidth="1"/>
    <col min="6139" max="6139" width="22.25" style="1128" customWidth="1"/>
    <col min="6140" max="6140" width="10.25" style="1128" customWidth="1"/>
    <col min="6141" max="6141" width="4.25" style="1128" customWidth="1"/>
    <col min="6142" max="6142" width="7.875" style="1128" customWidth="1"/>
    <col min="6143" max="6154" width="4" style="1128" customWidth="1"/>
    <col min="6155" max="6155" width="12.75" style="1128" customWidth="1"/>
    <col min="6156" max="6390" width="9" style="1128"/>
    <col min="6391" max="6391" width="16.75" style="1128" customWidth="1"/>
    <col min="6392" max="6392" width="12.75" style="1128" customWidth="1"/>
    <col min="6393" max="6393" width="11.75" style="1128" customWidth="1"/>
    <col min="6394" max="6394" width="11.25" style="1128" customWidth="1"/>
    <col min="6395" max="6395" width="22.25" style="1128" customWidth="1"/>
    <col min="6396" max="6396" width="10.25" style="1128" customWidth="1"/>
    <col min="6397" max="6397" width="4.25" style="1128" customWidth="1"/>
    <col min="6398" max="6398" width="7.875" style="1128" customWidth="1"/>
    <col min="6399" max="6410" width="4" style="1128" customWidth="1"/>
    <col min="6411" max="6411" width="12.75" style="1128" customWidth="1"/>
    <col min="6412" max="6646" width="9" style="1128"/>
    <col min="6647" max="6647" width="16.75" style="1128" customWidth="1"/>
    <col min="6648" max="6648" width="12.75" style="1128" customWidth="1"/>
    <col min="6649" max="6649" width="11.75" style="1128" customWidth="1"/>
    <col min="6650" max="6650" width="11.25" style="1128" customWidth="1"/>
    <col min="6651" max="6651" width="22.25" style="1128" customWidth="1"/>
    <col min="6652" max="6652" width="10.25" style="1128" customWidth="1"/>
    <col min="6653" max="6653" width="4.25" style="1128" customWidth="1"/>
    <col min="6654" max="6654" width="7.875" style="1128" customWidth="1"/>
    <col min="6655" max="6666" width="4" style="1128" customWidth="1"/>
    <col min="6667" max="6667" width="12.75" style="1128" customWidth="1"/>
    <col min="6668" max="6902" width="9" style="1128"/>
    <col min="6903" max="6903" width="16.75" style="1128" customWidth="1"/>
    <col min="6904" max="6904" width="12.75" style="1128" customWidth="1"/>
    <col min="6905" max="6905" width="11.75" style="1128" customWidth="1"/>
    <col min="6906" max="6906" width="11.25" style="1128" customWidth="1"/>
    <col min="6907" max="6907" width="22.25" style="1128" customWidth="1"/>
    <col min="6908" max="6908" width="10.25" style="1128" customWidth="1"/>
    <col min="6909" max="6909" width="4.25" style="1128" customWidth="1"/>
    <col min="6910" max="6910" width="7.875" style="1128" customWidth="1"/>
    <col min="6911" max="6922" width="4" style="1128" customWidth="1"/>
    <col min="6923" max="6923" width="12.75" style="1128" customWidth="1"/>
    <col min="6924" max="7158" width="9" style="1128"/>
    <col min="7159" max="7159" width="16.75" style="1128" customWidth="1"/>
    <col min="7160" max="7160" width="12.75" style="1128" customWidth="1"/>
    <col min="7161" max="7161" width="11.75" style="1128" customWidth="1"/>
    <col min="7162" max="7162" width="11.25" style="1128" customWidth="1"/>
    <col min="7163" max="7163" width="22.25" style="1128" customWidth="1"/>
    <col min="7164" max="7164" width="10.25" style="1128" customWidth="1"/>
    <col min="7165" max="7165" width="4.25" style="1128" customWidth="1"/>
    <col min="7166" max="7166" width="7.875" style="1128" customWidth="1"/>
    <col min="7167" max="7178" width="4" style="1128" customWidth="1"/>
    <col min="7179" max="7179" width="12.75" style="1128" customWidth="1"/>
    <col min="7180" max="7414" width="9" style="1128"/>
    <col min="7415" max="7415" width="16.75" style="1128" customWidth="1"/>
    <col min="7416" max="7416" width="12.75" style="1128" customWidth="1"/>
    <col min="7417" max="7417" width="11.75" style="1128" customWidth="1"/>
    <col min="7418" max="7418" width="11.25" style="1128" customWidth="1"/>
    <col min="7419" max="7419" width="22.25" style="1128" customWidth="1"/>
    <col min="7420" max="7420" width="10.25" style="1128" customWidth="1"/>
    <col min="7421" max="7421" width="4.25" style="1128" customWidth="1"/>
    <col min="7422" max="7422" width="7.875" style="1128" customWidth="1"/>
    <col min="7423" max="7434" width="4" style="1128" customWidth="1"/>
    <col min="7435" max="7435" width="12.75" style="1128" customWidth="1"/>
    <col min="7436" max="7670" width="9" style="1128"/>
    <col min="7671" max="7671" width="16.75" style="1128" customWidth="1"/>
    <col min="7672" max="7672" width="12.75" style="1128" customWidth="1"/>
    <col min="7673" max="7673" width="11.75" style="1128" customWidth="1"/>
    <col min="7674" max="7674" width="11.25" style="1128" customWidth="1"/>
    <col min="7675" max="7675" width="22.25" style="1128" customWidth="1"/>
    <col min="7676" max="7676" width="10.25" style="1128" customWidth="1"/>
    <col min="7677" max="7677" width="4.25" style="1128" customWidth="1"/>
    <col min="7678" max="7678" width="7.875" style="1128" customWidth="1"/>
    <col min="7679" max="7690" width="4" style="1128" customWidth="1"/>
    <col min="7691" max="7691" width="12.75" style="1128" customWidth="1"/>
    <col min="7692" max="7926" width="9" style="1128"/>
    <col min="7927" max="7927" width="16.75" style="1128" customWidth="1"/>
    <col min="7928" max="7928" width="12.75" style="1128" customWidth="1"/>
    <col min="7929" max="7929" width="11.75" style="1128" customWidth="1"/>
    <col min="7930" max="7930" width="11.25" style="1128" customWidth="1"/>
    <col min="7931" max="7931" width="22.25" style="1128" customWidth="1"/>
    <col min="7932" max="7932" width="10.25" style="1128" customWidth="1"/>
    <col min="7933" max="7933" width="4.25" style="1128" customWidth="1"/>
    <col min="7934" max="7934" width="7.875" style="1128" customWidth="1"/>
    <col min="7935" max="7946" width="4" style="1128" customWidth="1"/>
    <col min="7947" max="7947" width="12.75" style="1128" customWidth="1"/>
    <col min="7948" max="8182" width="9" style="1128"/>
    <col min="8183" max="8183" width="16.75" style="1128" customWidth="1"/>
    <col min="8184" max="8184" width="12.75" style="1128" customWidth="1"/>
    <col min="8185" max="8185" width="11.75" style="1128" customWidth="1"/>
    <col min="8186" max="8186" width="11.25" style="1128" customWidth="1"/>
    <col min="8187" max="8187" width="22.25" style="1128" customWidth="1"/>
    <col min="8188" max="8188" width="10.25" style="1128" customWidth="1"/>
    <col min="8189" max="8189" width="4.25" style="1128" customWidth="1"/>
    <col min="8190" max="8190" width="7.875" style="1128" customWidth="1"/>
    <col min="8191" max="8202" width="4" style="1128" customWidth="1"/>
    <col min="8203" max="8203" width="12.75" style="1128" customWidth="1"/>
    <col min="8204" max="8438" width="9" style="1128"/>
    <col min="8439" max="8439" width="16.75" style="1128" customWidth="1"/>
    <col min="8440" max="8440" width="12.75" style="1128" customWidth="1"/>
    <col min="8441" max="8441" width="11.75" style="1128" customWidth="1"/>
    <col min="8442" max="8442" width="11.25" style="1128" customWidth="1"/>
    <col min="8443" max="8443" width="22.25" style="1128" customWidth="1"/>
    <col min="8444" max="8444" width="10.25" style="1128" customWidth="1"/>
    <col min="8445" max="8445" width="4.25" style="1128" customWidth="1"/>
    <col min="8446" max="8446" width="7.875" style="1128" customWidth="1"/>
    <col min="8447" max="8458" width="4" style="1128" customWidth="1"/>
    <col min="8459" max="8459" width="12.75" style="1128" customWidth="1"/>
    <col min="8460" max="8694" width="9" style="1128"/>
    <col min="8695" max="8695" width="16.75" style="1128" customWidth="1"/>
    <col min="8696" max="8696" width="12.75" style="1128" customWidth="1"/>
    <col min="8697" max="8697" width="11.75" style="1128" customWidth="1"/>
    <col min="8698" max="8698" width="11.25" style="1128" customWidth="1"/>
    <col min="8699" max="8699" width="22.25" style="1128" customWidth="1"/>
    <col min="8700" max="8700" width="10.25" style="1128" customWidth="1"/>
    <col min="8701" max="8701" width="4.25" style="1128" customWidth="1"/>
    <col min="8702" max="8702" width="7.875" style="1128" customWidth="1"/>
    <col min="8703" max="8714" width="4" style="1128" customWidth="1"/>
    <col min="8715" max="8715" width="12.75" style="1128" customWidth="1"/>
    <col min="8716" max="8950" width="9" style="1128"/>
    <col min="8951" max="8951" width="16.75" style="1128" customWidth="1"/>
    <col min="8952" max="8952" width="12.75" style="1128" customWidth="1"/>
    <col min="8953" max="8953" width="11.75" style="1128" customWidth="1"/>
    <col min="8954" max="8954" width="11.25" style="1128" customWidth="1"/>
    <col min="8955" max="8955" width="22.25" style="1128" customWidth="1"/>
    <col min="8956" max="8956" width="10.25" style="1128" customWidth="1"/>
    <col min="8957" max="8957" width="4.25" style="1128" customWidth="1"/>
    <col min="8958" max="8958" width="7.875" style="1128" customWidth="1"/>
    <col min="8959" max="8970" width="4" style="1128" customWidth="1"/>
    <col min="8971" max="8971" width="12.75" style="1128" customWidth="1"/>
    <col min="8972" max="9206" width="9" style="1128"/>
    <col min="9207" max="9207" width="16.75" style="1128" customWidth="1"/>
    <col min="9208" max="9208" width="12.75" style="1128" customWidth="1"/>
    <col min="9209" max="9209" width="11.75" style="1128" customWidth="1"/>
    <col min="9210" max="9210" width="11.25" style="1128" customWidth="1"/>
    <col min="9211" max="9211" width="22.25" style="1128" customWidth="1"/>
    <col min="9212" max="9212" width="10.25" style="1128" customWidth="1"/>
    <col min="9213" max="9213" width="4.25" style="1128" customWidth="1"/>
    <col min="9214" max="9214" width="7.875" style="1128" customWidth="1"/>
    <col min="9215" max="9226" width="4" style="1128" customWidth="1"/>
    <col min="9227" max="9227" width="12.75" style="1128" customWidth="1"/>
    <col min="9228" max="9462" width="9" style="1128"/>
    <col min="9463" max="9463" width="16.75" style="1128" customWidth="1"/>
    <col min="9464" max="9464" width="12.75" style="1128" customWidth="1"/>
    <col min="9465" max="9465" width="11.75" style="1128" customWidth="1"/>
    <col min="9466" max="9466" width="11.25" style="1128" customWidth="1"/>
    <col min="9467" max="9467" width="22.25" style="1128" customWidth="1"/>
    <col min="9468" max="9468" width="10.25" style="1128" customWidth="1"/>
    <col min="9469" max="9469" width="4.25" style="1128" customWidth="1"/>
    <col min="9470" max="9470" width="7.875" style="1128" customWidth="1"/>
    <col min="9471" max="9482" width="4" style="1128" customWidth="1"/>
    <col min="9483" max="9483" width="12.75" style="1128" customWidth="1"/>
    <col min="9484" max="9718" width="9" style="1128"/>
    <col min="9719" max="9719" width="16.75" style="1128" customWidth="1"/>
    <col min="9720" max="9720" width="12.75" style="1128" customWidth="1"/>
    <col min="9721" max="9721" width="11.75" style="1128" customWidth="1"/>
    <col min="9722" max="9722" width="11.25" style="1128" customWidth="1"/>
    <col min="9723" max="9723" width="22.25" style="1128" customWidth="1"/>
    <col min="9724" max="9724" width="10.25" style="1128" customWidth="1"/>
    <col min="9725" max="9725" width="4.25" style="1128" customWidth="1"/>
    <col min="9726" max="9726" width="7.875" style="1128" customWidth="1"/>
    <col min="9727" max="9738" width="4" style="1128" customWidth="1"/>
    <col min="9739" max="9739" width="12.75" style="1128" customWidth="1"/>
    <col min="9740" max="9974" width="9" style="1128"/>
    <col min="9975" max="9975" width="16.75" style="1128" customWidth="1"/>
    <col min="9976" max="9976" width="12.75" style="1128" customWidth="1"/>
    <col min="9977" max="9977" width="11.75" style="1128" customWidth="1"/>
    <col min="9978" max="9978" width="11.25" style="1128" customWidth="1"/>
    <col min="9979" max="9979" width="22.25" style="1128" customWidth="1"/>
    <col min="9980" max="9980" width="10.25" style="1128" customWidth="1"/>
    <col min="9981" max="9981" width="4.25" style="1128" customWidth="1"/>
    <col min="9982" max="9982" width="7.875" style="1128" customWidth="1"/>
    <col min="9983" max="9994" width="4" style="1128" customWidth="1"/>
    <col min="9995" max="9995" width="12.75" style="1128" customWidth="1"/>
    <col min="9996" max="10230" width="9" style="1128"/>
    <col min="10231" max="10231" width="16.75" style="1128" customWidth="1"/>
    <col min="10232" max="10232" width="12.75" style="1128" customWidth="1"/>
    <col min="10233" max="10233" width="11.75" style="1128" customWidth="1"/>
    <col min="10234" max="10234" width="11.25" style="1128" customWidth="1"/>
    <col min="10235" max="10235" width="22.25" style="1128" customWidth="1"/>
    <col min="10236" max="10236" width="10.25" style="1128" customWidth="1"/>
    <col min="10237" max="10237" width="4.25" style="1128" customWidth="1"/>
    <col min="10238" max="10238" width="7.875" style="1128" customWidth="1"/>
    <col min="10239" max="10250" width="4" style="1128" customWidth="1"/>
    <col min="10251" max="10251" width="12.75" style="1128" customWidth="1"/>
    <col min="10252" max="10486" width="9" style="1128"/>
    <col min="10487" max="10487" width="16.75" style="1128" customWidth="1"/>
    <col min="10488" max="10488" width="12.75" style="1128" customWidth="1"/>
    <col min="10489" max="10489" width="11.75" style="1128" customWidth="1"/>
    <col min="10490" max="10490" width="11.25" style="1128" customWidth="1"/>
    <col min="10491" max="10491" width="22.25" style="1128" customWidth="1"/>
    <col min="10492" max="10492" width="10.25" style="1128" customWidth="1"/>
    <col min="10493" max="10493" width="4.25" style="1128" customWidth="1"/>
    <col min="10494" max="10494" width="7.875" style="1128" customWidth="1"/>
    <col min="10495" max="10506" width="4" style="1128" customWidth="1"/>
    <col min="10507" max="10507" width="12.75" style="1128" customWidth="1"/>
    <col min="10508" max="10742" width="9" style="1128"/>
    <col min="10743" max="10743" width="16.75" style="1128" customWidth="1"/>
    <col min="10744" max="10744" width="12.75" style="1128" customWidth="1"/>
    <col min="10745" max="10745" width="11.75" style="1128" customWidth="1"/>
    <col min="10746" max="10746" width="11.25" style="1128" customWidth="1"/>
    <col min="10747" max="10747" width="22.25" style="1128" customWidth="1"/>
    <col min="10748" max="10748" width="10.25" style="1128" customWidth="1"/>
    <col min="10749" max="10749" width="4.25" style="1128" customWidth="1"/>
    <col min="10750" max="10750" width="7.875" style="1128" customWidth="1"/>
    <col min="10751" max="10762" width="4" style="1128" customWidth="1"/>
    <col min="10763" max="10763" width="12.75" style="1128" customWidth="1"/>
    <col min="10764" max="10998" width="9" style="1128"/>
    <col min="10999" max="10999" width="16.75" style="1128" customWidth="1"/>
    <col min="11000" max="11000" width="12.75" style="1128" customWidth="1"/>
    <col min="11001" max="11001" width="11.75" style="1128" customWidth="1"/>
    <col min="11002" max="11002" width="11.25" style="1128" customWidth="1"/>
    <col min="11003" max="11003" width="22.25" style="1128" customWidth="1"/>
    <col min="11004" max="11004" width="10.25" style="1128" customWidth="1"/>
    <col min="11005" max="11005" width="4.25" style="1128" customWidth="1"/>
    <col min="11006" max="11006" width="7.875" style="1128" customWidth="1"/>
    <col min="11007" max="11018" width="4" style="1128" customWidth="1"/>
    <col min="11019" max="11019" width="12.75" style="1128" customWidth="1"/>
    <col min="11020" max="11254" width="9" style="1128"/>
    <col min="11255" max="11255" width="16.75" style="1128" customWidth="1"/>
    <col min="11256" max="11256" width="12.75" style="1128" customWidth="1"/>
    <col min="11257" max="11257" width="11.75" style="1128" customWidth="1"/>
    <col min="11258" max="11258" width="11.25" style="1128" customWidth="1"/>
    <col min="11259" max="11259" width="22.25" style="1128" customWidth="1"/>
    <col min="11260" max="11260" width="10.25" style="1128" customWidth="1"/>
    <col min="11261" max="11261" width="4.25" style="1128" customWidth="1"/>
    <col min="11262" max="11262" width="7.875" style="1128" customWidth="1"/>
    <col min="11263" max="11274" width="4" style="1128" customWidth="1"/>
    <col min="11275" max="11275" width="12.75" style="1128" customWidth="1"/>
    <col min="11276" max="11510" width="9" style="1128"/>
    <col min="11511" max="11511" width="16.75" style="1128" customWidth="1"/>
    <col min="11512" max="11512" width="12.75" style="1128" customWidth="1"/>
    <col min="11513" max="11513" width="11.75" style="1128" customWidth="1"/>
    <col min="11514" max="11514" width="11.25" style="1128" customWidth="1"/>
    <col min="11515" max="11515" width="22.25" style="1128" customWidth="1"/>
    <col min="11516" max="11516" width="10.25" style="1128" customWidth="1"/>
    <col min="11517" max="11517" width="4.25" style="1128" customWidth="1"/>
    <col min="11518" max="11518" width="7.875" style="1128" customWidth="1"/>
    <col min="11519" max="11530" width="4" style="1128" customWidth="1"/>
    <col min="11531" max="11531" width="12.75" style="1128" customWidth="1"/>
    <col min="11532" max="11766" width="9" style="1128"/>
    <col min="11767" max="11767" width="16.75" style="1128" customWidth="1"/>
    <col min="11768" max="11768" width="12.75" style="1128" customWidth="1"/>
    <col min="11769" max="11769" width="11.75" style="1128" customWidth="1"/>
    <col min="11770" max="11770" width="11.25" style="1128" customWidth="1"/>
    <col min="11771" max="11771" width="22.25" style="1128" customWidth="1"/>
    <col min="11772" max="11772" width="10.25" style="1128" customWidth="1"/>
    <col min="11773" max="11773" width="4.25" style="1128" customWidth="1"/>
    <col min="11774" max="11774" width="7.875" style="1128" customWidth="1"/>
    <col min="11775" max="11786" width="4" style="1128" customWidth="1"/>
    <col min="11787" max="11787" width="12.75" style="1128" customWidth="1"/>
    <col min="11788" max="12022" width="9" style="1128"/>
    <col min="12023" max="12023" width="16.75" style="1128" customWidth="1"/>
    <col min="12024" max="12024" width="12.75" style="1128" customWidth="1"/>
    <col min="12025" max="12025" width="11.75" style="1128" customWidth="1"/>
    <col min="12026" max="12026" width="11.25" style="1128" customWidth="1"/>
    <col min="12027" max="12027" width="22.25" style="1128" customWidth="1"/>
    <col min="12028" max="12028" width="10.25" style="1128" customWidth="1"/>
    <col min="12029" max="12029" width="4.25" style="1128" customWidth="1"/>
    <col min="12030" max="12030" width="7.875" style="1128" customWidth="1"/>
    <col min="12031" max="12042" width="4" style="1128" customWidth="1"/>
    <col min="12043" max="12043" width="12.75" style="1128" customWidth="1"/>
    <col min="12044" max="12278" width="9" style="1128"/>
    <col min="12279" max="12279" width="16.75" style="1128" customWidth="1"/>
    <col min="12280" max="12280" width="12.75" style="1128" customWidth="1"/>
    <col min="12281" max="12281" width="11.75" style="1128" customWidth="1"/>
    <col min="12282" max="12282" width="11.25" style="1128" customWidth="1"/>
    <col min="12283" max="12283" width="22.25" style="1128" customWidth="1"/>
    <col min="12284" max="12284" width="10.25" style="1128" customWidth="1"/>
    <col min="12285" max="12285" width="4.25" style="1128" customWidth="1"/>
    <col min="12286" max="12286" width="7.875" style="1128" customWidth="1"/>
    <col min="12287" max="12298" width="4" style="1128" customWidth="1"/>
    <col min="12299" max="12299" width="12.75" style="1128" customWidth="1"/>
    <col min="12300" max="12534" width="9" style="1128"/>
    <col min="12535" max="12535" width="16.75" style="1128" customWidth="1"/>
    <col min="12536" max="12536" width="12.75" style="1128" customWidth="1"/>
    <col min="12537" max="12537" width="11.75" style="1128" customWidth="1"/>
    <col min="12538" max="12538" width="11.25" style="1128" customWidth="1"/>
    <col min="12539" max="12539" width="22.25" style="1128" customWidth="1"/>
    <col min="12540" max="12540" width="10.25" style="1128" customWidth="1"/>
    <col min="12541" max="12541" width="4.25" style="1128" customWidth="1"/>
    <col min="12542" max="12542" width="7.875" style="1128" customWidth="1"/>
    <col min="12543" max="12554" width="4" style="1128" customWidth="1"/>
    <col min="12555" max="12555" width="12.75" style="1128" customWidth="1"/>
    <col min="12556" max="12790" width="9" style="1128"/>
    <col min="12791" max="12791" width="16.75" style="1128" customWidth="1"/>
    <col min="12792" max="12792" width="12.75" style="1128" customWidth="1"/>
    <col min="12793" max="12793" width="11.75" style="1128" customWidth="1"/>
    <col min="12794" max="12794" width="11.25" style="1128" customWidth="1"/>
    <col min="12795" max="12795" width="22.25" style="1128" customWidth="1"/>
    <col min="12796" max="12796" width="10.25" style="1128" customWidth="1"/>
    <col min="12797" max="12797" width="4.25" style="1128" customWidth="1"/>
    <col min="12798" max="12798" width="7.875" style="1128" customWidth="1"/>
    <col min="12799" max="12810" width="4" style="1128" customWidth="1"/>
    <col min="12811" max="12811" width="12.75" style="1128" customWidth="1"/>
    <col min="12812" max="13046" width="9" style="1128"/>
    <col min="13047" max="13047" width="16.75" style="1128" customWidth="1"/>
    <col min="13048" max="13048" width="12.75" style="1128" customWidth="1"/>
    <col min="13049" max="13049" width="11.75" style="1128" customWidth="1"/>
    <col min="13050" max="13050" width="11.25" style="1128" customWidth="1"/>
    <col min="13051" max="13051" width="22.25" style="1128" customWidth="1"/>
    <col min="13052" max="13052" width="10.25" style="1128" customWidth="1"/>
    <col min="13053" max="13053" width="4.25" style="1128" customWidth="1"/>
    <col min="13054" max="13054" width="7.875" style="1128" customWidth="1"/>
    <col min="13055" max="13066" width="4" style="1128" customWidth="1"/>
    <col min="13067" max="13067" width="12.75" style="1128" customWidth="1"/>
    <col min="13068" max="13302" width="9" style="1128"/>
    <col min="13303" max="13303" width="16.75" style="1128" customWidth="1"/>
    <col min="13304" max="13304" width="12.75" style="1128" customWidth="1"/>
    <col min="13305" max="13305" width="11.75" style="1128" customWidth="1"/>
    <col min="13306" max="13306" width="11.25" style="1128" customWidth="1"/>
    <col min="13307" max="13307" width="22.25" style="1128" customWidth="1"/>
    <col min="13308" max="13308" width="10.25" style="1128" customWidth="1"/>
    <col min="13309" max="13309" width="4.25" style="1128" customWidth="1"/>
    <col min="13310" max="13310" width="7.875" style="1128" customWidth="1"/>
    <col min="13311" max="13322" width="4" style="1128" customWidth="1"/>
    <col min="13323" max="13323" width="12.75" style="1128" customWidth="1"/>
    <col min="13324" max="13558" width="9" style="1128"/>
    <col min="13559" max="13559" width="16.75" style="1128" customWidth="1"/>
    <col min="13560" max="13560" width="12.75" style="1128" customWidth="1"/>
    <col min="13561" max="13561" width="11.75" style="1128" customWidth="1"/>
    <col min="13562" max="13562" width="11.25" style="1128" customWidth="1"/>
    <col min="13563" max="13563" width="22.25" style="1128" customWidth="1"/>
    <col min="13564" max="13564" width="10.25" style="1128" customWidth="1"/>
    <col min="13565" max="13565" width="4.25" style="1128" customWidth="1"/>
    <col min="13566" max="13566" width="7.875" style="1128" customWidth="1"/>
    <col min="13567" max="13578" width="4" style="1128" customWidth="1"/>
    <col min="13579" max="13579" width="12.75" style="1128" customWidth="1"/>
    <col min="13580" max="13814" width="9" style="1128"/>
    <col min="13815" max="13815" width="16.75" style="1128" customWidth="1"/>
    <col min="13816" max="13816" width="12.75" style="1128" customWidth="1"/>
    <col min="13817" max="13817" width="11.75" style="1128" customWidth="1"/>
    <col min="13818" max="13818" width="11.25" style="1128" customWidth="1"/>
    <col min="13819" max="13819" width="22.25" style="1128" customWidth="1"/>
    <col min="13820" max="13820" width="10.25" style="1128" customWidth="1"/>
    <col min="13821" max="13821" width="4.25" style="1128" customWidth="1"/>
    <col min="13822" max="13822" width="7.875" style="1128" customWidth="1"/>
    <col min="13823" max="13834" width="4" style="1128" customWidth="1"/>
    <col min="13835" max="13835" width="12.75" style="1128" customWidth="1"/>
    <col min="13836" max="14070" width="9" style="1128"/>
    <col min="14071" max="14071" width="16.75" style="1128" customWidth="1"/>
    <col min="14072" max="14072" width="12.75" style="1128" customWidth="1"/>
    <col min="14073" max="14073" width="11.75" style="1128" customWidth="1"/>
    <col min="14074" max="14074" width="11.25" style="1128" customWidth="1"/>
    <col min="14075" max="14075" width="22.25" style="1128" customWidth="1"/>
    <col min="14076" max="14076" width="10.25" style="1128" customWidth="1"/>
    <col min="14077" max="14077" width="4.25" style="1128" customWidth="1"/>
    <col min="14078" max="14078" width="7.875" style="1128" customWidth="1"/>
    <col min="14079" max="14090" width="4" style="1128" customWidth="1"/>
    <col min="14091" max="14091" width="12.75" style="1128" customWidth="1"/>
    <col min="14092" max="14326" width="9" style="1128"/>
    <col min="14327" max="14327" width="16.75" style="1128" customWidth="1"/>
    <col min="14328" max="14328" width="12.75" style="1128" customWidth="1"/>
    <col min="14329" max="14329" width="11.75" style="1128" customWidth="1"/>
    <col min="14330" max="14330" width="11.25" style="1128" customWidth="1"/>
    <col min="14331" max="14331" width="22.25" style="1128" customWidth="1"/>
    <col min="14332" max="14332" width="10.25" style="1128" customWidth="1"/>
    <col min="14333" max="14333" width="4.25" style="1128" customWidth="1"/>
    <col min="14334" max="14334" width="7.875" style="1128" customWidth="1"/>
    <col min="14335" max="14346" width="4" style="1128" customWidth="1"/>
    <col min="14347" max="14347" width="12.75" style="1128" customWidth="1"/>
    <col min="14348" max="14582" width="9" style="1128"/>
    <col min="14583" max="14583" width="16.75" style="1128" customWidth="1"/>
    <col min="14584" max="14584" width="12.75" style="1128" customWidth="1"/>
    <col min="14585" max="14585" width="11.75" style="1128" customWidth="1"/>
    <col min="14586" max="14586" width="11.25" style="1128" customWidth="1"/>
    <col min="14587" max="14587" width="22.25" style="1128" customWidth="1"/>
    <col min="14588" max="14588" width="10.25" style="1128" customWidth="1"/>
    <col min="14589" max="14589" width="4.25" style="1128" customWidth="1"/>
    <col min="14590" max="14590" width="7.875" style="1128" customWidth="1"/>
    <col min="14591" max="14602" width="4" style="1128" customWidth="1"/>
    <col min="14603" max="14603" width="12.75" style="1128" customWidth="1"/>
    <col min="14604" max="14838" width="9" style="1128"/>
    <col min="14839" max="14839" width="16.75" style="1128" customWidth="1"/>
    <col min="14840" max="14840" width="12.75" style="1128" customWidth="1"/>
    <col min="14841" max="14841" width="11.75" style="1128" customWidth="1"/>
    <col min="14842" max="14842" width="11.25" style="1128" customWidth="1"/>
    <col min="14843" max="14843" width="22.25" style="1128" customWidth="1"/>
    <col min="14844" max="14844" width="10.25" style="1128" customWidth="1"/>
    <col min="14845" max="14845" width="4.25" style="1128" customWidth="1"/>
    <col min="14846" max="14846" width="7.875" style="1128" customWidth="1"/>
    <col min="14847" max="14858" width="4" style="1128" customWidth="1"/>
    <col min="14859" max="14859" width="12.75" style="1128" customWidth="1"/>
    <col min="14860" max="15094" width="9" style="1128"/>
    <col min="15095" max="15095" width="16.75" style="1128" customWidth="1"/>
    <col min="15096" max="15096" width="12.75" style="1128" customWidth="1"/>
    <col min="15097" max="15097" width="11.75" style="1128" customWidth="1"/>
    <col min="15098" max="15098" width="11.25" style="1128" customWidth="1"/>
    <col min="15099" max="15099" width="22.25" style="1128" customWidth="1"/>
    <col min="15100" max="15100" width="10.25" style="1128" customWidth="1"/>
    <col min="15101" max="15101" width="4.25" style="1128" customWidth="1"/>
    <col min="15102" max="15102" width="7.875" style="1128" customWidth="1"/>
    <col min="15103" max="15114" width="4" style="1128" customWidth="1"/>
    <col min="15115" max="15115" width="12.75" style="1128" customWidth="1"/>
    <col min="15116" max="15350" width="9" style="1128"/>
    <col min="15351" max="15351" width="16.75" style="1128" customWidth="1"/>
    <col min="15352" max="15352" width="12.75" style="1128" customWidth="1"/>
    <col min="15353" max="15353" width="11.75" style="1128" customWidth="1"/>
    <col min="15354" max="15354" width="11.25" style="1128" customWidth="1"/>
    <col min="15355" max="15355" width="22.25" style="1128" customWidth="1"/>
    <col min="15356" max="15356" width="10.25" style="1128" customWidth="1"/>
    <col min="15357" max="15357" width="4.25" style="1128" customWidth="1"/>
    <col min="15358" max="15358" width="7.875" style="1128" customWidth="1"/>
    <col min="15359" max="15370" width="4" style="1128" customWidth="1"/>
    <col min="15371" max="15371" width="12.75" style="1128" customWidth="1"/>
    <col min="15372" max="15606" width="9" style="1128"/>
    <col min="15607" max="15607" width="16.75" style="1128" customWidth="1"/>
    <col min="15608" max="15608" width="12.75" style="1128" customWidth="1"/>
    <col min="15609" max="15609" width="11.75" style="1128" customWidth="1"/>
    <col min="15610" max="15610" width="11.25" style="1128" customWidth="1"/>
    <col min="15611" max="15611" width="22.25" style="1128" customWidth="1"/>
    <col min="15612" max="15612" width="10.25" style="1128" customWidth="1"/>
    <col min="15613" max="15613" width="4.25" style="1128" customWidth="1"/>
    <col min="15614" max="15614" width="7.875" style="1128" customWidth="1"/>
    <col min="15615" max="15626" width="4" style="1128" customWidth="1"/>
    <col min="15627" max="15627" width="12.75" style="1128" customWidth="1"/>
    <col min="15628" max="15862" width="9" style="1128"/>
    <col min="15863" max="15863" width="16.75" style="1128" customWidth="1"/>
    <col min="15864" max="15864" width="12.75" style="1128" customWidth="1"/>
    <col min="15865" max="15865" width="11.75" style="1128" customWidth="1"/>
    <col min="15866" max="15866" width="11.25" style="1128" customWidth="1"/>
    <col min="15867" max="15867" width="22.25" style="1128" customWidth="1"/>
    <col min="15868" max="15868" width="10.25" style="1128" customWidth="1"/>
    <col min="15869" max="15869" width="4.25" style="1128" customWidth="1"/>
    <col min="15870" max="15870" width="7.875" style="1128" customWidth="1"/>
    <col min="15871" max="15882" width="4" style="1128" customWidth="1"/>
    <col min="15883" max="15883" width="12.75" style="1128" customWidth="1"/>
    <col min="15884" max="16118" width="9" style="1128"/>
    <col min="16119" max="16119" width="16.75" style="1128" customWidth="1"/>
    <col min="16120" max="16120" width="12.75" style="1128" customWidth="1"/>
    <col min="16121" max="16121" width="11.75" style="1128" customWidth="1"/>
    <col min="16122" max="16122" width="11.25" style="1128" customWidth="1"/>
    <col min="16123" max="16123" width="22.25" style="1128" customWidth="1"/>
    <col min="16124" max="16124" width="10.25" style="1128" customWidth="1"/>
    <col min="16125" max="16125" width="4.25" style="1128" customWidth="1"/>
    <col min="16126" max="16126" width="7.875" style="1128" customWidth="1"/>
    <col min="16127" max="16138" width="4" style="1128" customWidth="1"/>
    <col min="16139" max="16139" width="12.75" style="1128" customWidth="1"/>
    <col min="16140" max="16374" width="9" style="1128"/>
    <col min="16375" max="16384" width="9" style="1128" customWidth="1"/>
  </cols>
  <sheetData>
    <row r="1" spans="1:256" s="1131" customFormat="1" ht="18.75">
      <c r="A1" s="2139" t="s">
        <v>1553</v>
      </c>
      <c r="B1" s="2139"/>
      <c r="C1" s="2139"/>
      <c r="D1" s="2139"/>
      <c r="E1" s="2139"/>
      <c r="F1" s="2139"/>
      <c r="G1" s="2139"/>
      <c r="H1" s="2139"/>
      <c r="I1" s="2139"/>
      <c r="J1" s="2139"/>
      <c r="K1" s="2139"/>
      <c r="L1" s="2139"/>
      <c r="M1" s="2139"/>
      <c r="N1" s="2139"/>
      <c r="O1" s="2139"/>
      <c r="P1" s="2139"/>
      <c r="Q1" s="2139"/>
      <c r="R1" s="2139"/>
      <c r="S1" s="2139"/>
      <c r="T1" s="2139"/>
      <c r="U1" s="2139"/>
    </row>
    <row r="2" spans="1:256" s="32" customFormat="1">
      <c r="A2" s="2140" t="s">
        <v>1591</v>
      </c>
      <c r="B2" s="2140"/>
      <c r="C2" s="2140"/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0"/>
      <c r="Q2" s="2140"/>
      <c r="R2" s="2140"/>
      <c r="S2" s="2140"/>
      <c r="T2" s="2140"/>
      <c r="U2" s="2140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1124"/>
      <c r="AM2" s="1124"/>
      <c r="AN2" s="1124"/>
      <c r="AO2" s="1124"/>
      <c r="AP2" s="1124"/>
      <c r="AQ2" s="1124"/>
      <c r="AR2" s="1124"/>
      <c r="AS2" s="1124"/>
      <c r="AT2" s="1124"/>
      <c r="AU2" s="1124"/>
      <c r="AV2" s="1124"/>
      <c r="AW2" s="1124"/>
      <c r="AX2" s="1124"/>
      <c r="AY2" s="1124"/>
      <c r="AZ2" s="1124"/>
      <c r="BA2" s="1124"/>
      <c r="BB2" s="1124"/>
      <c r="BC2" s="1124"/>
      <c r="BD2" s="1124"/>
      <c r="BE2" s="1124"/>
      <c r="BF2" s="1124"/>
      <c r="BG2" s="1124"/>
      <c r="BH2" s="1124"/>
      <c r="BI2" s="1124"/>
      <c r="BJ2" s="1124"/>
      <c r="BK2" s="1124"/>
      <c r="BL2" s="1124"/>
      <c r="BM2" s="1124"/>
      <c r="BN2" s="1124"/>
      <c r="BO2" s="1124"/>
      <c r="BP2" s="1124"/>
      <c r="BQ2" s="1124"/>
      <c r="BR2" s="1124"/>
      <c r="BS2" s="1124"/>
      <c r="BT2" s="1124"/>
      <c r="BU2" s="1124"/>
      <c r="BV2" s="1124"/>
      <c r="BW2" s="1124"/>
      <c r="BX2" s="1124"/>
      <c r="BY2" s="1124"/>
      <c r="BZ2" s="1124"/>
      <c r="CA2" s="1124"/>
      <c r="CB2" s="1124"/>
      <c r="CC2" s="1124"/>
      <c r="CD2" s="1124"/>
      <c r="CE2" s="1124"/>
      <c r="CF2" s="1124"/>
      <c r="CG2" s="1124"/>
      <c r="CH2" s="1124"/>
      <c r="CI2" s="1124"/>
      <c r="CJ2" s="1124"/>
      <c r="CK2" s="1124"/>
      <c r="CL2" s="1124"/>
      <c r="CM2" s="1124"/>
      <c r="CN2" s="1124"/>
      <c r="CO2" s="1124"/>
      <c r="CP2" s="1124"/>
      <c r="CQ2" s="1124"/>
      <c r="CR2" s="1124"/>
      <c r="CS2" s="1124"/>
      <c r="CT2" s="1124"/>
      <c r="CU2" s="1124"/>
      <c r="CV2" s="1124"/>
      <c r="CW2" s="1124"/>
      <c r="CX2" s="1124"/>
      <c r="CY2" s="1124"/>
      <c r="CZ2" s="1124"/>
      <c r="DA2" s="1124"/>
      <c r="DB2" s="1124"/>
      <c r="DC2" s="1124"/>
      <c r="DD2" s="1124"/>
      <c r="DE2" s="1124"/>
      <c r="DF2" s="1124"/>
      <c r="DG2" s="1124"/>
      <c r="DH2" s="1124"/>
      <c r="DI2" s="1124"/>
      <c r="DJ2" s="1124"/>
      <c r="DK2" s="1124"/>
      <c r="DL2" s="1124"/>
      <c r="DM2" s="1124"/>
      <c r="DN2" s="1124"/>
      <c r="DO2" s="1124"/>
      <c r="DP2" s="1124"/>
      <c r="DQ2" s="1124"/>
      <c r="DR2" s="1124"/>
      <c r="DS2" s="1124"/>
      <c r="DT2" s="1124"/>
      <c r="DU2" s="1124"/>
      <c r="DV2" s="1124"/>
      <c r="DW2" s="1124"/>
      <c r="DX2" s="1124"/>
      <c r="DY2" s="1124"/>
      <c r="DZ2" s="1124"/>
      <c r="EA2" s="1124"/>
      <c r="EB2" s="1124"/>
      <c r="EC2" s="1124"/>
      <c r="ED2" s="1124"/>
      <c r="EE2" s="1124"/>
      <c r="EF2" s="1124"/>
      <c r="EG2" s="1124"/>
      <c r="EH2" s="1124"/>
      <c r="EI2" s="1124"/>
      <c r="EJ2" s="1124"/>
      <c r="EK2" s="1124"/>
      <c r="EL2" s="1124"/>
      <c r="EM2" s="1124"/>
      <c r="EN2" s="1124"/>
      <c r="EO2" s="1124"/>
      <c r="EP2" s="1124"/>
      <c r="EQ2" s="1124"/>
      <c r="ER2" s="1124"/>
      <c r="ES2" s="1124"/>
      <c r="ET2" s="1124"/>
      <c r="EU2" s="1124"/>
      <c r="EV2" s="1124"/>
      <c r="EW2" s="1124"/>
      <c r="EX2" s="1124"/>
      <c r="EY2" s="1124"/>
      <c r="EZ2" s="1124"/>
      <c r="FA2" s="1124"/>
      <c r="FB2" s="1124"/>
      <c r="FC2" s="1124"/>
      <c r="FD2" s="1124"/>
      <c r="FE2" s="1124"/>
      <c r="FF2" s="1124"/>
      <c r="FG2" s="1124"/>
      <c r="FH2" s="1124"/>
      <c r="FI2" s="1124"/>
      <c r="FJ2" s="1124"/>
      <c r="FK2" s="1124"/>
      <c r="FL2" s="1124"/>
      <c r="FM2" s="1124"/>
      <c r="FN2" s="1124"/>
      <c r="FO2" s="1124"/>
      <c r="FP2" s="1124"/>
      <c r="FQ2" s="1124"/>
      <c r="FR2" s="1124"/>
      <c r="FS2" s="1124"/>
      <c r="FT2" s="1124"/>
      <c r="FU2" s="1124"/>
      <c r="FV2" s="1124"/>
      <c r="FW2" s="1124"/>
      <c r="FX2" s="1124"/>
      <c r="FY2" s="1124"/>
      <c r="FZ2" s="1124"/>
      <c r="GA2" s="1124"/>
      <c r="GB2" s="1124"/>
      <c r="GC2" s="1124"/>
      <c r="GD2" s="1124"/>
      <c r="GE2" s="1124"/>
      <c r="GF2" s="1124"/>
      <c r="GG2" s="1124"/>
      <c r="GH2" s="1124"/>
      <c r="GI2" s="1124"/>
      <c r="GJ2" s="1124"/>
      <c r="GK2" s="1124"/>
      <c r="GL2" s="1124"/>
      <c r="GM2" s="1124"/>
      <c r="GN2" s="1124"/>
      <c r="GO2" s="1124"/>
      <c r="GP2" s="1124"/>
      <c r="GQ2" s="1124"/>
      <c r="GR2" s="1124"/>
      <c r="GS2" s="1124"/>
      <c r="GT2" s="1124"/>
      <c r="GU2" s="1124"/>
      <c r="GV2" s="1124"/>
      <c r="GW2" s="1124"/>
      <c r="GX2" s="1124"/>
      <c r="GY2" s="1124"/>
      <c r="GZ2" s="1124"/>
      <c r="HA2" s="1124"/>
      <c r="HB2" s="1124"/>
      <c r="HC2" s="1124"/>
      <c r="HD2" s="1124"/>
      <c r="HE2" s="1124"/>
      <c r="HF2" s="1124"/>
      <c r="HG2" s="1124"/>
      <c r="HH2" s="1124"/>
      <c r="HI2" s="1124"/>
      <c r="HJ2" s="1124"/>
      <c r="HK2" s="1124"/>
      <c r="HL2" s="1124"/>
      <c r="HM2" s="1124"/>
      <c r="HN2" s="1124"/>
      <c r="HO2" s="1124"/>
      <c r="HP2" s="1124"/>
      <c r="HQ2" s="1124"/>
      <c r="HR2" s="1124"/>
      <c r="HS2" s="1124"/>
      <c r="HT2" s="1124"/>
      <c r="HU2" s="1124"/>
      <c r="HV2" s="1124"/>
      <c r="HW2" s="1124"/>
      <c r="HX2" s="1124"/>
      <c r="HY2" s="1124"/>
      <c r="HZ2" s="1124"/>
      <c r="IA2" s="1124"/>
      <c r="IB2" s="1124"/>
      <c r="IC2" s="1124"/>
      <c r="ID2" s="1124"/>
      <c r="IE2" s="1124"/>
      <c r="IF2" s="1124"/>
      <c r="IG2" s="1124"/>
      <c r="IH2" s="1124"/>
      <c r="II2" s="1124"/>
      <c r="IJ2" s="1124"/>
      <c r="IK2" s="1124"/>
      <c r="IL2" s="1124"/>
      <c r="IM2" s="1124"/>
      <c r="IN2" s="1124"/>
      <c r="IO2" s="1124"/>
      <c r="IP2" s="1124"/>
      <c r="IQ2" s="1124"/>
      <c r="IR2" s="1124"/>
      <c r="IS2" s="1124"/>
      <c r="IT2" s="1124"/>
      <c r="IU2" s="1124"/>
      <c r="IV2" s="1124"/>
    </row>
    <row r="3" spans="1:256" s="32" customFormat="1">
      <c r="A3" s="2141" t="s">
        <v>1592</v>
      </c>
      <c r="B3" s="2141"/>
      <c r="C3" s="2141"/>
      <c r="D3" s="2141"/>
      <c r="E3" s="2141"/>
      <c r="F3" s="2141"/>
      <c r="G3" s="2141"/>
      <c r="H3" s="2141"/>
      <c r="I3" s="2141"/>
      <c r="J3" s="2141"/>
      <c r="K3" s="2141"/>
      <c r="L3" s="2141"/>
      <c r="M3" s="2141"/>
      <c r="N3" s="2141"/>
      <c r="O3" s="2141"/>
      <c r="P3" s="2141"/>
      <c r="Q3" s="2141"/>
      <c r="R3" s="2141"/>
      <c r="S3" s="2141"/>
      <c r="T3" s="2141"/>
      <c r="U3" s="2141"/>
      <c r="V3" s="1124"/>
      <c r="W3" s="1124"/>
      <c r="X3" s="1124"/>
      <c r="Y3" s="1124"/>
      <c r="Z3" s="1124"/>
      <c r="AA3" s="1124"/>
      <c r="AB3" s="1124"/>
      <c r="AC3" s="1124"/>
      <c r="AD3" s="1124"/>
      <c r="AE3" s="1124"/>
      <c r="AF3" s="1124"/>
      <c r="AG3" s="1124"/>
      <c r="AH3" s="1124"/>
      <c r="AI3" s="1124"/>
      <c r="AJ3" s="1124"/>
      <c r="AK3" s="1124"/>
      <c r="AL3" s="1124"/>
      <c r="AM3" s="1124"/>
      <c r="AN3" s="1124"/>
      <c r="AO3" s="1124"/>
      <c r="AP3" s="1124"/>
      <c r="AQ3" s="1124"/>
      <c r="AR3" s="1124"/>
      <c r="AS3" s="1124"/>
      <c r="AT3" s="1124"/>
      <c r="AU3" s="1124"/>
      <c r="AV3" s="1124"/>
      <c r="AW3" s="1124"/>
      <c r="AX3" s="1124"/>
      <c r="AY3" s="1124"/>
      <c r="AZ3" s="1124"/>
      <c r="BA3" s="1124"/>
      <c r="BB3" s="1124"/>
      <c r="BC3" s="1124"/>
      <c r="BD3" s="1124"/>
      <c r="BE3" s="1124"/>
      <c r="BF3" s="1124"/>
      <c r="BG3" s="1124"/>
      <c r="BH3" s="1124"/>
      <c r="BI3" s="1124"/>
      <c r="BJ3" s="1124"/>
      <c r="BK3" s="1124"/>
      <c r="BL3" s="1124"/>
      <c r="BM3" s="1124"/>
      <c r="BN3" s="1124"/>
      <c r="BO3" s="1124"/>
      <c r="BP3" s="1124"/>
      <c r="BQ3" s="1124"/>
      <c r="BR3" s="1124"/>
      <c r="BS3" s="1124"/>
      <c r="BT3" s="1124"/>
      <c r="BU3" s="1124"/>
      <c r="BV3" s="1124"/>
      <c r="BW3" s="1124"/>
      <c r="BX3" s="1124"/>
      <c r="BY3" s="1124"/>
      <c r="BZ3" s="1124"/>
      <c r="CA3" s="1124"/>
      <c r="CB3" s="1124"/>
      <c r="CC3" s="1124"/>
      <c r="CD3" s="1124"/>
      <c r="CE3" s="1124"/>
      <c r="CF3" s="1124"/>
      <c r="CG3" s="1124"/>
      <c r="CH3" s="1124"/>
      <c r="CI3" s="1124"/>
      <c r="CJ3" s="1124"/>
      <c r="CK3" s="1124"/>
      <c r="CL3" s="1124"/>
      <c r="CM3" s="1124"/>
      <c r="CN3" s="1124"/>
      <c r="CO3" s="1124"/>
      <c r="CP3" s="1124"/>
      <c r="CQ3" s="1124"/>
      <c r="CR3" s="1124"/>
      <c r="CS3" s="1124"/>
      <c r="CT3" s="1124"/>
      <c r="CU3" s="1124"/>
      <c r="CV3" s="1124"/>
      <c r="CW3" s="1124"/>
      <c r="CX3" s="1124"/>
      <c r="CY3" s="1124"/>
      <c r="CZ3" s="1124"/>
      <c r="DA3" s="1124"/>
      <c r="DB3" s="1124"/>
      <c r="DC3" s="1124"/>
      <c r="DD3" s="1124"/>
      <c r="DE3" s="1124"/>
      <c r="DF3" s="1124"/>
      <c r="DG3" s="1124"/>
      <c r="DH3" s="1124"/>
      <c r="DI3" s="1124"/>
      <c r="DJ3" s="1124"/>
      <c r="DK3" s="1124"/>
      <c r="DL3" s="1124"/>
      <c r="DM3" s="1124"/>
      <c r="DN3" s="1124"/>
      <c r="DO3" s="1124"/>
      <c r="DP3" s="1124"/>
      <c r="DQ3" s="1124"/>
      <c r="DR3" s="1124"/>
      <c r="DS3" s="1124"/>
      <c r="DT3" s="1124"/>
      <c r="DU3" s="1124"/>
      <c r="DV3" s="1124"/>
      <c r="DW3" s="1124"/>
      <c r="DX3" s="1124"/>
      <c r="DY3" s="1124"/>
      <c r="DZ3" s="1124"/>
      <c r="EA3" s="1124"/>
      <c r="EB3" s="1124"/>
      <c r="EC3" s="1124"/>
      <c r="ED3" s="1124"/>
      <c r="EE3" s="1124"/>
      <c r="EF3" s="1124"/>
      <c r="EG3" s="1124"/>
      <c r="EH3" s="1124"/>
      <c r="EI3" s="1124"/>
      <c r="EJ3" s="1124"/>
      <c r="EK3" s="1124"/>
      <c r="EL3" s="1124"/>
      <c r="EM3" s="1124"/>
      <c r="EN3" s="1124"/>
      <c r="EO3" s="1124"/>
      <c r="EP3" s="1124"/>
      <c r="EQ3" s="1124"/>
      <c r="ER3" s="1124"/>
      <c r="ES3" s="1124"/>
      <c r="ET3" s="1124"/>
      <c r="EU3" s="1124"/>
      <c r="EV3" s="1124"/>
      <c r="EW3" s="1124"/>
      <c r="EX3" s="1124"/>
      <c r="EY3" s="1124"/>
      <c r="EZ3" s="1124"/>
      <c r="FA3" s="1124"/>
      <c r="FB3" s="1124"/>
      <c r="FC3" s="1124"/>
      <c r="FD3" s="1124"/>
      <c r="FE3" s="1124"/>
      <c r="FF3" s="1124"/>
      <c r="FG3" s="1124"/>
      <c r="FH3" s="1124"/>
      <c r="FI3" s="1124"/>
      <c r="FJ3" s="1124"/>
      <c r="FK3" s="1124"/>
      <c r="FL3" s="1124"/>
      <c r="FM3" s="1124"/>
      <c r="FN3" s="1124"/>
      <c r="FO3" s="1124"/>
      <c r="FP3" s="1124"/>
      <c r="FQ3" s="1124"/>
      <c r="FR3" s="1124"/>
      <c r="FS3" s="1124"/>
      <c r="FT3" s="1124"/>
      <c r="FU3" s="1124"/>
      <c r="FV3" s="1124"/>
      <c r="FW3" s="1124"/>
      <c r="FX3" s="1124"/>
      <c r="FY3" s="1124"/>
      <c r="FZ3" s="1124"/>
      <c r="GA3" s="1124"/>
      <c r="GB3" s="1124"/>
      <c r="GC3" s="1124"/>
      <c r="GD3" s="1124"/>
      <c r="GE3" s="1124"/>
      <c r="GF3" s="1124"/>
      <c r="GG3" s="1124"/>
      <c r="GH3" s="1124"/>
      <c r="GI3" s="1124"/>
      <c r="GJ3" s="1124"/>
      <c r="GK3" s="1124"/>
      <c r="GL3" s="1124"/>
      <c r="GM3" s="1124"/>
      <c r="GN3" s="1124"/>
      <c r="GO3" s="1124"/>
      <c r="GP3" s="1124"/>
      <c r="GQ3" s="1124"/>
      <c r="GR3" s="1124"/>
      <c r="GS3" s="1124"/>
      <c r="GT3" s="1124"/>
      <c r="GU3" s="1124"/>
      <c r="GV3" s="1124"/>
      <c r="GW3" s="1124"/>
      <c r="GX3" s="1124"/>
      <c r="GY3" s="1124"/>
      <c r="GZ3" s="1124"/>
      <c r="HA3" s="1124"/>
      <c r="HB3" s="1124"/>
      <c r="HC3" s="1124"/>
      <c r="HD3" s="1124"/>
      <c r="HE3" s="1124"/>
      <c r="HF3" s="1124"/>
      <c r="HG3" s="1124"/>
      <c r="HH3" s="1124"/>
      <c r="HI3" s="1124"/>
      <c r="HJ3" s="1124"/>
      <c r="HK3" s="1124"/>
      <c r="HL3" s="1124"/>
      <c r="HM3" s="1124"/>
      <c r="HN3" s="1124"/>
      <c r="HO3" s="1124"/>
      <c r="HP3" s="1124"/>
      <c r="HQ3" s="1124"/>
      <c r="HR3" s="1124"/>
      <c r="HS3" s="1124"/>
      <c r="HT3" s="1124"/>
      <c r="HU3" s="1124"/>
      <c r="HV3" s="1124"/>
      <c r="HW3" s="1124"/>
      <c r="HX3" s="1124"/>
      <c r="HY3" s="1124"/>
      <c r="HZ3" s="1124"/>
      <c r="IA3" s="1124"/>
      <c r="IB3" s="1124"/>
      <c r="IC3" s="1124"/>
      <c r="ID3" s="1124"/>
      <c r="IE3" s="1124"/>
      <c r="IF3" s="1124"/>
      <c r="IG3" s="1124"/>
      <c r="IH3" s="1124"/>
      <c r="II3" s="1124"/>
      <c r="IJ3" s="1124"/>
      <c r="IK3" s="1124"/>
      <c r="IL3" s="1124"/>
      <c r="IM3" s="1124"/>
      <c r="IN3" s="1124"/>
      <c r="IO3" s="1124"/>
      <c r="IP3" s="1124"/>
      <c r="IQ3" s="1124"/>
      <c r="IR3" s="1124"/>
      <c r="IS3" s="1124"/>
      <c r="IT3" s="1124"/>
      <c r="IU3" s="1124"/>
      <c r="IV3" s="1124"/>
    </row>
    <row r="4" spans="1:256" s="1124" customFormat="1" ht="18" customHeight="1">
      <c r="A4" s="2246" t="s">
        <v>1776</v>
      </c>
      <c r="B4" s="2246"/>
      <c r="C4" s="2246"/>
      <c r="D4" s="2246"/>
      <c r="E4" s="2246"/>
      <c r="F4" s="2246"/>
      <c r="G4" s="2246"/>
      <c r="H4" s="2246"/>
      <c r="I4" s="2246"/>
      <c r="J4" s="2246"/>
      <c r="K4" s="2246"/>
      <c r="L4" s="2246"/>
      <c r="M4" s="2246"/>
      <c r="N4" s="2246"/>
      <c r="O4" s="2246"/>
      <c r="P4" s="2246"/>
      <c r="Q4" s="2246"/>
      <c r="R4" s="2246"/>
      <c r="S4" s="2246"/>
      <c r="T4" s="2246"/>
      <c r="U4" s="2246"/>
    </row>
    <row r="5" spans="1:256" s="1131" customFormat="1" ht="18" customHeight="1">
      <c r="A5" s="2217" t="s">
        <v>44</v>
      </c>
      <c r="B5" s="2248" t="s">
        <v>45</v>
      </c>
      <c r="C5" s="2248" t="s">
        <v>46</v>
      </c>
      <c r="D5" s="2248" t="s">
        <v>47</v>
      </c>
      <c r="E5" s="2248" t="s">
        <v>48</v>
      </c>
      <c r="F5" s="2248"/>
      <c r="G5" s="2248"/>
      <c r="H5" s="2248" t="s">
        <v>1533</v>
      </c>
      <c r="I5" s="2249" t="s">
        <v>50</v>
      </c>
      <c r="J5" s="2249"/>
      <c r="K5" s="2249"/>
      <c r="L5" s="2249"/>
      <c r="M5" s="2249"/>
      <c r="N5" s="2249"/>
      <c r="O5" s="2249"/>
      <c r="P5" s="2249"/>
      <c r="Q5" s="2249"/>
      <c r="R5" s="2249"/>
      <c r="S5" s="2249"/>
      <c r="T5" s="2249"/>
      <c r="U5" s="2250" t="s">
        <v>153</v>
      </c>
    </row>
    <row r="6" spans="1:256" s="1131" customFormat="1" ht="18" customHeight="1">
      <c r="A6" s="2247"/>
      <c r="B6" s="2217"/>
      <c r="C6" s="2217"/>
      <c r="D6" s="2217"/>
      <c r="E6" s="1364" t="s">
        <v>52</v>
      </c>
      <c r="F6" s="1366" t="s">
        <v>1534</v>
      </c>
      <c r="G6" s="1366" t="s">
        <v>1559</v>
      </c>
      <c r="H6" s="2217"/>
      <c r="I6" s="1367" t="s">
        <v>55</v>
      </c>
      <c r="J6" s="1367" t="s">
        <v>56</v>
      </c>
      <c r="K6" s="1367" t="s">
        <v>57</v>
      </c>
      <c r="L6" s="1367" t="s">
        <v>58</v>
      </c>
      <c r="M6" s="1367" t="s">
        <v>59</v>
      </c>
      <c r="N6" s="1367" t="s">
        <v>60</v>
      </c>
      <c r="O6" s="1367" t="s">
        <v>61</v>
      </c>
      <c r="P6" s="1367" t="s">
        <v>62</v>
      </c>
      <c r="Q6" s="1367" t="s">
        <v>63</v>
      </c>
      <c r="R6" s="1367" t="s">
        <v>64</v>
      </c>
      <c r="S6" s="1367" t="s">
        <v>65</v>
      </c>
      <c r="T6" s="1367" t="s">
        <v>66</v>
      </c>
      <c r="U6" s="2251"/>
    </row>
    <row r="7" spans="1:256" s="1373" customFormat="1" ht="108.75" customHeight="1">
      <c r="A7" s="1368" t="s">
        <v>1725</v>
      </c>
      <c r="B7" s="1368" t="s">
        <v>1726</v>
      </c>
      <c r="C7" s="1368" t="s">
        <v>1727</v>
      </c>
      <c r="D7" s="1368" t="s">
        <v>1728</v>
      </c>
      <c r="E7" s="1368" t="s">
        <v>1675</v>
      </c>
      <c r="F7" s="1369" t="s">
        <v>1676</v>
      </c>
      <c r="G7" s="1369" t="s">
        <v>1676</v>
      </c>
      <c r="H7" s="1370" t="s">
        <v>1745</v>
      </c>
      <c r="I7" s="1371"/>
      <c r="J7" s="1371"/>
      <c r="K7" s="1371"/>
      <c r="L7" s="1371"/>
      <c r="M7" s="1371"/>
      <c r="N7" s="1371"/>
      <c r="O7" s="1371"/>
      <c r="P7" s="1371"/>
      <c r="Q7" s="1371"/>
      <c r="R7" s="1371"/>
      <c r="S7" s="1371"/>
      <c r="T7" s="1371"/>
      <c r="U7" s="1372" t="s">
        <v>1729</v>
      </c>
    </row>
    <row r="8" spans="1:256" s="1373" customFormat="1" ht="130.5" customHeight="1">
      <c r="A8" s="1368" t="s">
        <v>1730</v>
      </c>
      <c r="B8" s="1368" t="s">
        <v>1731</v>
      </c>
      <c r="C8" s="1368" t="s">
        <v>1732</v>
      </c>
      <c r="D8" s="1368" t="s">
        <v>1728</v>
      </c>
      <c r="E8" s="1376" t="s">
        <v>1766</v>
      </c>
      <c r="F8" s="1411">
        <v>97500</v>
      </c>
      <c r="G8" s="1412" t="s">
        <v>1765</v>
      </c>
      <c r="H8" s="1370" t="s">
        <v>1745</v>
      </c>
      <c r="I8" s="1371"/>
      <c r="J8" s="1371"/>
      <c r="K8" s="1413">
        <v>24375</v>
      </c>
      <c r="L8" s="1413">
        <v>24375</v>
      </c>
      <c r="M8" s="1413">
        <v>24375</v>
      </c>
      <c r="N8" s="1413">
        <v>24375</v>
      </c>
      <c r="P8" s="1413"/>
      <c r="R8" s="1413"/>
      <c r="S8" s="1413"/>
      <c r="T8" s="1413"/>
      <c r="U8" s="1372" t="s">
        <v>1729</v>
      </c>
    </row>
    <row r="9" spans="1:256" s="1373" customFormat="1" ht="146.25" customHeight="1">
      <c r="A9" s="1368" t="s">
        <v>1733</v>
      </c>
      <c r="B9" s="1368" t="s">
        <v>1734</v>
      </c>
      <c r="C9" s="1368" t="s">
        <v>1734</v>
      </c>
      <c r="D9" s="1368" t="s">
        <v>1735</v>
      </c>
      <c r="E9" s="1368" t="s">
        <v>1736</v>
      </c>
      <c r="F9" s="1369" t="s">
        <v>1676</v>
      </c>
      <c r="G9" s="1374" t="s">
        <v>1737</v>
      </c>
      <c r="H9" s="1370" t="s">
        <v>1745</v>
      </c>
      <c r="I9" s="1371"/>
      <c r="J9" s="1371"/>
      <c r="K9" s="1371"/>
      <c r="L9" s="1371"/>
      <c r="M9" s="1371"/>
      <c r="N9" s="1371"/>
      <c r="O9" s="1371"/>
      <c r="P9" s="1371"/>
      <c r="Q9" s="1371"/>
      <c r="R9" s="1371"/>
      <c r="S9" s="1371"/>
      <c r="T9" s="1371"/>
      <c r="U9" s="1375" t="s">
        <v>1738</v>
      </c>
    </row>
    <row r="10" spans="1:256" s="1131" customFormat="1" ht="78.75" customHeight="1">
      <c r="A10" s="2105" t="s">
        <v>1739</v>
      </c>
      <c r="B10" s="2105" t="s">
        <v>1740</v>
      </c>
      <c r="C10" s="2105" t="s">
        <v>1741</v>
      </c>
      <c r="D10" s="2105" t="s">
        <v>1742</v>
      </c>
      <c r="E10" s="1376" t="s">
        <v>1747</v>
      </c>
      <c r="F10" s="1377">
        <f>I10+J10+K10+L10+M10+N10</f>
        <v>360000</v>
      </c>
      <c r="G10" s="1365" t="s">
        <v>1743</v>
      </c>
      <c r="H10" s="2244" t="s">
        <v>1746</v>
      </c>
      <c r="I10" s="1404">
        <f>18*3000</f>
        <v>54000</v>
      </c>
      <c r="J10" s="1404">
        <f>3000*22</f>
        <v>66000</v>
      </c>
      <c r="K10" s="1404">
        <f>3000*20</f>
        <v>60000</v>
      </c>
      <c r="L10" s="1404">
        <f>3000*18</f>
        <v>54000</v>
      </c>
      <c r="M10" s="1404">
        <f>3000*19</f>
        <v>57000</v>
      </c>
      <c r="N10" s="1404">
        <f>3000*23</f>
        <v>69000</v>
      </c>
      <c r="O10" s="1404"/>
      <c r="P10" s="1405"/>
      <c r="Q10" s="1405"/>
      <c r="R10" s="1405"/>
      <c r="S10" s="1405"/>
      <c r="T10" s="1405"/>
      <c r="U10" s="1375" t="s">
        <v>1744</v>
      </c>
      <c r="W10" s="1131">
        <f>40*75</f>
        <v>3000</v>
      </c>
    </row>
    <row r="11" spans="1:256" s="1131" customFormat="1" ht="90" customHeight="1">
      <c r="A11" s="2105"/>
      <c r="B11" s="2105"/>
      <c r="C11" s="2105"/>
      <c r="D11" s="2105"/>
      <c r="E11" s="1376" t="s">
        <v>1750</v>
      </c>
      <c r="F11" s="1403">
        <v>60000</v>
      </c>
      <c r="G11" s="1402" t="s">
        <v>1751</v>
      </c>
      <c r="H11" s="2245"/>
      <c r="I11" s="1379">
        <v>10000</v>
      </c>
      <c r="J11" s="1379">
        <v>10000</v>
      </c>
      <c r="K11" s="1379">
        <v>10000</v>
      </c>
      <c r="L11" s="1379">
        <v>10000</v>
      </c>
      <c r="M11" s="1379">
        <v>10000</v>
      </c>
      <c r="N11" s="1379">
        <v>10000</v>
      </c>
      <c r="O11" s="1379"/>
      <c r="P11" s="1378"/>
      <c r="Q11" s="1378"/>
      <c r="R11" s="1378"/>
      <c r="S11" s="1378"/>
      <c r="T11" s="1378"/>
      <c r="U11" s="1380" t="s">
        <v>1744</v>
      </c>
    </row>
    <row r="12" spans="1:256" s="1131" customFormat="1" ht="35.25" customHeight="1">
      <c r="A12" s="2132"/>
      <c r="B12" s="2132"/>
      <c r="C12" s="2132"/>
      <c r="D12" s="2132"/>
      <c r="E12" s="1381" t="s">
        <v>139</v>
      </c>
      <c r="F12" s="1382">
        <f>SUM(F8:F11)</f>
        <v>517500</v>
      </c>
      <c r="G12" s="1383"/>
      <c r="H12" s="1384"/>
      <c r="I12" s="1385">
        <f>SUM(I10:I11)</f>
        <v>64000</v>
      </c>
      <c r="J12" s="1385">
        <f t="shared" ref="J12" si="0">SUM(J10:J11)</f>
        <v>76000</v>
      </c>
      <c r="K12" s="1385">
        <f>SUM(K8:K11)</f>
        <v>94375</v>
      </c>
      <c r="L12" s="1385">
        <f>SUM(L8:L11)</f>
        <v>88375</v>
      </c>
      <c r="M12" s="1385">
        <f>SUM(M8:M11)</f>
        <v>91375</v>
      </c>
      <c r="N12" s="1385">
        <f>SUM(N8:N11)</f>
        <v>103375</v>
      </c>
      <c r="O12" s="1385"/>
      <c r="P12" s="1385"/>
      <c r="Q12" s="1385"/>
      <c r="R12" s="1385"/>
      <c r="S12" s="1385"/>
      <c r="T12" s="1385"/>
      <c r="U12" s="1386"/>
    </row>
    <row r="13" spans="1:256" s="1388" customFormat="1" ht="18" customHeight="1">
      <c r="A13" s="1128"/>
      <c r="B13" s="1128"/>
      <c r="C13" s="1128"/>
      <c r="D13" s="1128"/>
      <c r="E13" s="1128"/>
      <c r="F13" s="1091"/>
      <c r="G13" s="1128"/>
      <c r="H13" s="1128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128"/>
      <c r="V13" s="1387"/>
      <c r="W13" s="1387"/>
      <c r="X13" s="1387"/>
      <c r="Y13" s="1387"/>
      <c r="Z13" s="1387"/>
      <c r="AA13" s="1387"/>
      <c r="AB13" s="1387"/>
      <c r="AC13" s="1387"/>
      <c r="AD13" s="1387"/>
      <c r="AE13" s="1387"/>
      <c r="AF13" s="1387"/>
      <c r="AG13" s="1387"/>
      <c r="AH13" s="1387"/>
      <c r="AI13" s="1387"/>
      <c r="AJ13" s="1387"/>
      <c r="AK13" s="1387"/>
      <c r="AL13" s="1387"/>
      <c r="AM13" s="1387"/>
    </row>
    <row r="14" spans="1:256" s="1388" customFormat="1" ht="37.5" customHeight="1">
      <c r="A14" s="1128"/>
      <c r="B14" s="1128"/>
      <c r="C14" s="1128"/>
      <c r="D14" s="1128"/>
      <c r="E14" s="1128"/>
      <c r="F14" s="1091"/>
      <c r="G14" s="1128"/>
      <c r="H14" s="1128"/>
      <c r="I14" s="1091"/>
      <c r="J14" s="1091"/>
      <c r="K14" s="1091"/>
      <c r="L14" s="1091"/>
      <c r="M14" s="1091"/>
      <c r="N14" s="1091"/>
      <c r="O14" s="1091"/>
      <c r="P14" s="1091"/>
      <c r="Q14" s="1091"/>
      <c r="R14" s="1091"/>
      <c r="S14" s="1091"/>
      <c r="T14" s="1091"/>
      <c r="U14" s="1128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1387"/>
      <c r="AG14" s="1387"/>
      <c r="AH14" s="1387"/>
      <c r="AI14" s="1387"/>
      <c r="AJ14" s="1387"/>
      <c r="AK14" s="1387"/>
      <c r="AL14" s="1387"/>
      <c r="AM14" s="1387"/>
    </row>
    <row r="15" spans="1:256" s="1388" customFormat="1" ht="53.45" customHeight="1">
      <c r="A15" s="1128"/>
      <c r="B15" s="1128"/>
      <c r="C15" s="1128"/>
      <c r="D15" s="1128"/>
      <c r="E15" s="1128"/>
      <c r="F15" s="1091"/>
      <c r="G15" s="1128"/>
      <c r="H15" s="1128"/>
      <c r="I15" s="1091"/>
      <c r="J15" s="1091"/>
      <c r="K15" s="1091"/>
      <c r="L15" s="1091"/>
      <c r="M15" s="1091"/>
      <c r="N15" s="1091"/>
      <c r="O15" s="1091"/>
      <c r="P15" s="1091"/>
      <c r="Q15" s="1091"/>
      <c r="R15" s="1091"/>
      <c r="S15" s="1091"/>
      <c r="T15" s="1091"/>
      <c r="U15" s="1128"/>
      <c r="V15" s="1387"/>
      <c r="W15" s="1387"/>
      <c r="X15" s="1387"/>
      <c r="Y15" s="1387"/>
      <c r="Z15" s="1387"/>
      <c r="AA15" s="1387"/>
      <c r="AB15" s="1387"/>
      <c r="AC15" s="1387"/>
      <c r="AD15" s="1387"/>
      <c r="AE15" s="1387"/>
      <c r="AF15" s="1387"/>
      <c r="AG15" s="1387"/>
      <c r="AH15" s="1387"/>
      <c r="AI15" s="1387"/>
      <c r="AJ15" s="1387"/>
      <c r="AK15" s="1387"/>
      <c r="AL15" s="1387"/>
      <c r="AM15" s="1387"/>
    </row>
    <row r="16" spans="1:256" s="1388" customFormat="1">
      <c r="A16" s="1128"/>
      <c r="B16" s="1128"/>
      <c r="C16" s="1128"/>
      <c r="D16" s="1128"/>
      <c r="E16" s="1128"/>
      <c r="F16" s="1091"/>
      <c r="G16" s="1128"/>
      <c r="H16" s="1128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128"/>
      <c r="V16" s="1387"/>
      <c r="W16" s="1387"/>
      <c r="X16" s="1387"/>
      <c r="Y16" s="1387"/>
      <c r="Z16" s="1387"/>
      <c r="AA16" s="1387"/>
      <c r="AB16" s="1387"/>
      <c r="AC16" s="1387"/>
      <c r="AD16" s="1387"/>
      <c r="AE16" s="1387"/>
      <c r="AF16" s="1387"/>
      <c r="AG16" s="1387"/>
      <c r="AH16" s="1387"/>
      <c r="AI16" s="1387"/>
      <c r="AJ16" s="1387"/>
      <c r="AK16" s="1387"/>
      <c r="AL16" s="1387"/>
      <c r="AM16" s="1387"/>
    </row>
    <row r="17" spans="1:39" s="1388" customFormat="1" ht="37.5" customHeight="1">
      <c r="A17" s="1128"/>
      <c r="B17" s="1128"/>
      <c r="C17" s="1128"/>
      <c r="D17" s="1128"/>
      <c r="E17" s="1128"/>
      <c r="F17" s="1091"/>
      <c r="G17" s="1128"/>
      <c r="H17" s="1128"/>
      <c r="I17" s="1091"/>
      <c r="J17" s="1091"/>
      <c r="K17" s="1091"/>
      <c r="L17" s="1091"/>
      <c r="M17" s="1091"/>
      <c r="N17" s="1091"/>
      <c r="O17" s="1091"/>
      <c r="P17" s="1091"/>
      <c r="Q17" s="1091"/>
      <c r="R17" s="1091"/>
      <c r="S17" s="1091"/>
      <c r="T17" s="1091"/>
      <c r="U17" s="1128"/>
      <c r="V17" s="1387"/>
      <c r="W17" s="1387"/>
      <c r="X17" s="1387"/>
      <c r="Y17" s="1387"/>
      <c r="Z17" s="1387"/>
      <c r="AA17" s="1387"/>
      <c r="AB17" s="1387"/>
      <c r="AC17" s="1387"/>
      <c r="AD17" s="1387"/>
      <c r="AE17" s="1387"/>
      <c r="AF17" s="1387"/>
      <c r="AG17" s="1387"/>
      <c r="AH17" s="1387"/>
      <c r="AI17" s="1387"/>
      <c r="AJ17" s="1387"/>
      <c r="AK17" s="1387"/>
      <c r="AL17" s="1387"/>
      <c r="AM17" s="1387"/>
    </row>
    <row r="18" spans="1:39" s="1388" customFormat="1" ht="18" customHeight="1">
      <c r="A18" s="1128"/>
      <c r="B18" s="1128"/>
      <c r="C18" s="1128"/>
      <c r="D18" s="1128"/>
      <c r="E18" s="1128"/>
      <c r="F18" s="1091"/>
      <c r="G18" s="1128"/>
      <c r="H18" s="1128"/>
      <c r="I18" s="1091"/>
      <c r="J18" s="1091"/>
      <c r="K18" s="1091"/>
      <c r="L18" s="1091"/>
      <c r="M18" s="1091"/>
      <c r="N18" s="1091"/>
      <c r="O18" s="1091"/>
      <c r="P18" s="1091"/>
      <c r="Q18" s="1091"/>
      <c r="R18" s="1091"/>
      <c r="S18" s="1091"/>
      <c r="T18" s="1091"/>
      <c r="U18" s="1128"/>
      <c r="V18" s="1387"/>
      <c r="W18" s="1387"/>
      <c r="X18" s="1387"/>
      <c r="Y18" s="1387"/>
      <c r="Z18" s="1387"/>
      <c r="AA18" s="1387"/>
      <c r="AB18" s="1387"/>
      <c r="AC18" s="1387"/>
      <c r="AD18" s="1387"/>
      <c r="AE18" s="1387"/>
      <c r="AF18" s="1387"/>
      <c r="AG18" s="1387"/>
      <c r="AH18" s="1387"/>
      <c r="AI18" s="1387"/>
      <c r="AJ18" s="1387"/>
      <c r="AK18" s="1387"/>
      <c r="AL18" s="1387"/>
      <c r="AM18" s="1387"/>
    </row>
    <row r="19" spans="1:39" s="1387" customFormat="1" ht="38.25" customHeight="1">
      <c r="A19" s="1389"/>
      <c r="B19" s="1389"/>
      <c r="C19" s="1389"/>
      <c r="D19" s="1389"/>
      <c r="E19" s="1389"/>
      <c r="F19" s="1390"/>
      <c r="G19" s="1389"/>
      <c r="H19" s="1389"/>
      <c r="I19" s="1390"/>
      <c r="J19" s="1390"/>
      <c r="K19" s="1390"/>
      <c r="L19" s="1390"/>
      <c r="M19" s="1390"/>
      <c r="N19" s="1390"/>
      <c r="O19" s="1390"/>
      <c r="P19" s="1390"/>
      <c r="Q19" s="1390"/>
      <c r="R19" s="1390"/>
      <c r="S19" s="1390"/>
      <c r="T19" s="1390"/>
      <c r="U19" s="1389"/>
    </row>
    <row r="20" spans="1:39" s="1387" customFormat="1" ht="19.5" customHeight="1">
      <c r="A20" s="1128"/>
      <c r="B20" s="1128"/>
      <c r="C20" s="1128"/>
      <c r="D20" s="1128"/>
      <c r="E20" s="1128"/>
      <c r="F20" s="1091"/>
      <c r="G20" s="1128"/>
      <c r="H20" s="1128"/>
      <c r="I20" s="1091"/>
      <c r="J20" s="1091"/>
      <c r="K20" s="1091"/>
      <c r="L20" s="1091"/>
      <c r="M20" s="1091"/>
      <c r="N20" s="1091"/>
      <c r="O20" s="1091"/>
      <c r="P20" s="1091"/>
      <c r="Q20" s="1091"/>
      <c r="R20" s="1091"/>
      <c r="S20" s="1091"/>
      <c r="T20" s="1091"/>
      <c r="U20" s="1128"/>
    </row>
    <row r="21" spans="1:39" s="1391" customFormat="1" ht="74.45" customHeight="1">
      <c r="A21" s="1128"/>
      <c r="B21" s="1128"/>
      <c r="C21" s="1128"/>
      <c r="D21" s="1128"/>
      <c r="E21" s="1128"/>
      <c r="F21" s="1091"/>
      <c r="G21" s="1128"/>
      <c r="H21" s="1128"/>
      <c r="I21" s="1091"/>
      <c r="J21" s="1091"/>
      <c r="K21" s="1091"/>
      <c r="L21" s="1091"/>
      <c r="M21" s="1091"/>
      <c r="N21" s="1091"/>
      <c r="O21" s="1091"/>
      <c r="P21" s="1091"/>
      <c r="Q21" s="1091"/>
      <c r="R21" s="1091"/>
      <c r="S21" s="1091"/>
      <c r="T21" s="1091"/>
      <c r="U21" s="1128"/>
    </row>
    <row r="22" spans="1:39" s="1391" customFormat="1" ht="185.1" customHeight="1">
      <c r="A22" s="1128"/>
      <c r="B22" s="1128"/>
      <c r="C22" s="1128"/>
      <c r="D22" s="1128"/>
      <c r="E22" s="1128"/>
      <c r="F22" s="1091"/>
      <c r="G22" s="1128"/>
      <c r="H22" s="1128"/>
      <c r="I22" s="1091"/>
      <c r="J22" s="1091"/>
      <c r="K22" s="1091"/>
      <c r="L22" s="1091"/>
      <c r="M22" s="1091"/>
      <c r="N22" s="1091"/>
      <c r="O22" s="1091"/>
      <c r="P22" s="1091"/>
      <c r="Q22" s="1091"/>
      <c r="R22" s="1091"/>
      <c r="S22" s="1091"/>
      <c r="T22" s="1091"/>
      <c r="U22" s="1128"/>
    </row>
    <row r="23" spans="1:39" s="1391" customFormat="1" ht="109.5" customHeight="1">
      <c r="A23" s="1128"/>
      <c r="B23" s="1128"/>
      <c r="C23" s="1128"/>
      <c r="D23" s="1128"/>
      <c r="E23" s="1128"/>
      <c r="F23" s="1091"/>
      <c r="G23" s="1128"/>
      <c r="H23" s="1128"/>
      <c r="I23" s="1091"/>
      <c r="J23" s="1091"/>
      <c r="K23" s="1091"/>
      <c r="L23" s="1091"/>
      <c r="M23" s="1091"/>
      <c r="N23" s="1091"/>
      <c r="O23" s="1091"/>
      <c r="P23" s="1091"/>
      <c r="Q23" s="1091"/>
      <c r="R23" s="1091"/>
      <c r="S23" s="1091"/>
      <c r="T23" s="1091"/>
      <c r="U23" s="1128"/>
    </row>
    <row r="24" spans="1:39" s="1391" customFormat="1" ht="20.100000000000001" customHeight="1">
      <c r="A24" s="1128"/>
      <c r="B24" s="1128"/>
      <c r="C24" s="1128"/>
      <c r="D24" s="1128"/>
      <c r="E24" s="1128"/>
      <c r="F24" s="1091"/>
      <c r="G24" s="1128"/>
      <c r="H24" s="1128"/>
      <c r="I24" s="1091"/>
      <c r="J24" s="1091"/>
      <c r="K24" s="1091"/>
      <c r="L24" s="1091"/>
      <c r="M24" s="1091"/>
      <c r="N24" s="1091"/>
      <c r="O24" s="1091"/>
      <c r="P24" s="1091"/>
      <c r="Q24" s="1091"/>
      <c r="R24" s="1091"/>
      <c r="S24" s="1091"/>
      <c r="T24" s="1091"/>
      <c r="U24" s="1128"/>
    </row>
    <row r="25" spans="1:39" s="1391" customFormat="1" ht="90.95" customHeight="1">
      <c r="A25" s="1128"/>
      <c r="B25" s="1128"/>
      <c r="C25" s="1128"/>
      <c r="D25" s="1128"/>
      <c r="E25" s="1128"/>
      <c r="F25" s="1091"/>
      <c r="G25" s="1128"/>
      <c r="H25" s="1128"/>
      <c r="I25" s="1091"/>
      <c r="J25" s="1091"/>
      <c r="K25" s="1091"/>
      <c r="L25" s="1091"/>
      <c r="M25" s="1091"/>
      <c r="N25" s="1091"/>
      <c r="O25" s="1091"/>
      <c r="P25" s="1091"/>
      <c r="Q25" s="1091"/>
      <c r="R25" s="1091"/>
      <c r="S25" s="1091"/>
      <c r="T25" s="1091"/>
      <c r="U25" s="1128"/>
    </row>
    <row r="26" spans="1:39" s="1391" customFormat="1" ht="90.6" customHeight="1">
      <c r="A26" s="1128"/>
      <c r="B26" s="1128"/>
      <c r="C26" s="1128"/>
      <c r="D26" s="1128"/>
      <c r="E26" s="1128"/>
      <c r="F26" s="1091"/>
      <c r="G26" s="1128"/>
      <c r="H26" s="1128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128"/>
    </row>
    <row r="27" spans="1:39" s="1391" customFormat="1" ht="111.95" customHeight="1">
      <c r="A27" s="1128"/>
      <c r="B27" s="1128"/>
      <c r="C27" s="1128"/>
      <c r="D27" s="1128"/>
      <c r="E27" s="1128"/>
      <c r="F27" s="1091"/>
      <c r="G27" s="1128"/>
      <c r="H27" s="1128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128"/>
    </row>
    <row r="28" spans="1:39" s="1391" customFormat="1" ht="54.95" customHeight="1">
      <c r="A28" s="1128"/>
      <c r="B28" s="1128"/>
      <c r="C28" s="1128"/>
      <c r="D28" s="1128"/>
      <c r="E28" s="1128"/>
      <c r="F28" s="1091"/>
      <c r="G28" s="1128"/>
      <c r="H28" s="1128"/>
      <c r="I28" s="1091"/>
      <c r="J28" s="1091"/>
      <c r="K28" s="1091"/>
      <c r="L28" s="1091"/>
      <c r="M28" s="1091"/>
      <c r="N28" s="1091"/>
      <c r="O28" s="1091"/>
      <c r="P28" s="1091"/>
      <c r="Q28" s="1091"/>
      <c r="R28" s="1091"/>
      <c r="S28" s="1091"/>
      <c r="T28" s="1091"/>
      <c r="U28" s="1128"/>
    </row>
    <row r="29" spans="1:39" s="1391" customFormat="1" ht="76.5" customHeight="1">
      <c r="A29" s="1128"/>
      <c r="B29" s="1128"/>
      <c r="C29" s="1128"/>
      <c r="D29" s="1128"/>
      <c r="E29" s="1128"/>
      <c r="F29" s="1091"/>
      <c r="G29" s="1128"/>
      <c r="H29" s="1128"/>
      <c r="I29" s="1091"/>
      <c r="J29" s="1091"/>
      <c r="K29" s="1091"/>
      <c r="L29" s="1091"/>
      <c r="M29" s="1091"/>
      <c r="N29" s="1091"/>
      <c r="O29" s="1091"/>
      <c r="P29" s="1091"/>
      <c r="Q29" s="1091"/>
      <c r="R29" s="1091"/>
      <c r="S29" s="1091"/>
      <c r="T29" s="1091"/>
      <c r="U29" s="1128"/>
    </row>
    <row r="30" spans="1:39" s="1391" customFormat="1" ht="92.1" customHeight="1">
      <c r="A30" s="1128"/>
      <c r="B30" s="1128"/>
      <c r="C30" s="1128"/>
      <c r="D30" s="1128"/>
      <c r="E30" s="1128"/>
      <c r="F30" s="1091"/>
      <c r="G30" s="1128"/>
      <c r="H30" s="1128"/>
      <c r="I30" s="1091"/>
      <c r="J30" s="1091"/>
      <c r="K30" s="1091"/>
      <c r="L30" s="1091"/>
      <c r="M30" s="1091"/>
      <c r="N30" s="1091"/>
      <c r="O30" s="1091"/>
      <c r="P30" s="1091"/>
      <c r="Q30" s="1091"/>
      <c r="R30" s="1091"/>
      <c r="S30" s="1091"/>
      <c r="T30" s="1091"/>
      <c r="U30" s="1128"/>
    </row>
    <row r="31" spans="1:39" s="1391" customFormat="1">
      <c r="A31" s="1128"/>
      <c r="B31" s="1128"/>
      <c r="C31" s="1128"/>
      <c r="D31" s="1128"/>
      <c r="E31" s="1128"/>
      <c r="F31" s="1091"/>
      <c r="G31" s="1128"/>
      <c r="H31" s="1128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128"/>
    </row>
    <row r="32" spans="1:39" s="1391" customFormat="1" ht="98.25" customHeight="1">
      <c r="A32" s="1128"/>
      <c r="B32" s="1128"/>
      <c r="C32" s="1128"/>
      <c r="D32" s="1128"/>
      <c r="E32" s="1128"/>
      <c r="F32" s="1091"/>
      <c r="G32" s="1128"/>
      <c r="H32" s="1128"/>
      <c r="I32" s="1091"/>
      <c r="J32" s="1091"/>
      <c r="K32" s="1091"/>
      <c r="L32" s="1091"/>
      <c r="M32" s="1091"/>
      <c r="N32" s="1091"/>
      <c r="O32" s="1091"/>
      <c r="P32" s="1091"/>
      <c r="Q32" s="1091"/>
      <c r="R32" s="1091"/>
      <c r="S32" s="1091"/>
      <c r="T32" s="1091"/>
      <c r="U32" s="1128"/>
    </row>
    <row r="33" spans="1:39" s="1388" customFormat="1">
      <c r="A33" s="1128"/>
      <c r="B33" s="1128"/>
      <c r="C33" s="1128"/>
      <c r="D33" s="1128"/>
      <c r="E33" s="1128"/>
      <c r="F33" s="1091"/>
      <c r="G33" s="1128"/>
      <c r="H33" s="1128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128"/>
      <c r="V33" s="1387"/>
      <c r="W33" s="1387"/>
      <c r="X33" s="1387"/>
      <c r="Y33" s="1387"/>
      <c r="Z33" s="1387"/>
      <c r="AA33" s="1387"/>
      <c r="AB33" s="1387"/>
      <c r="AC33" s="1387"/>
      <c r="AD33" s="1387"/>
      <c r="AE33" s="1387"/>
      <c r="AF33" s="1387"/>
      <c r="AG33" s="1387"/>
      <c r="AH33" s="1387"/>
      <c r="AI33" s="1387"/>
      <c r="AJ33" s="1387"/>
      <c r="AK33" s="1387"/>
      <c r="AL33" s="1387"/>
      <c r="AM33" s="1387"/>
    </row>
  </sheetData>
  <mergeCells count="17">
    <mergeCell ref="A1:U1"/>
    <mergeCell ref="A2:U2"/>
    <mergeCell ref="A3:U3"/>
    <mergeCell ref="A4:U4"/>
    <mergeCell ref="A5:A6"/>
    <mergeCell ref="B5:B6"/>
    <mergeCell ref="C5:C6"/>
    <mergeCell ref="D5:D6"/>
    <mergeCell ref="E5:G5"/>
    <mergeCell ref="H5:H6"/>
    <mergeCell ref="I5:T5"/>
    <mergeCell ref="U5:U6"/>
    <mergeCell ref="H10:H11"/>
    <mergeCell ref="A10:A12"/>
    <mergeCell ref="B10:B12"/>
    <mergeCell ref="C10:C12"/>
    <mergeCell ref="D10:D12"/>
  </mergeCells>
  <pageMargins left="0.31496062992125984" right="0.31496062992125984" top="0.98425196850393704" bottom="0.31496062992125984" header="0.31496062992125984" footer="0.31496062992125984"/>
  <pageSetup paperSize="9" firstPageNumber="124" orientation="landscape" useFirstPageNumber="1" r:id="rId1"/>
  <headerFooter>
    <oddFooter>&amp;R&amp;8&amp;P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"/>
  <sheetViews>
    <sheetView tabSelected="1" view="pageBreakPreview" zoomScaleNormal="100" zoomScaleSheetLayoutView="100" workbookViewId="0">
      <selection activeCell="E7" sqref="E7"/>
    </sheetView>
  </sheetViews>
  <sheetFormatPr defaultRowHeight="18.75"/>
  <cols>
    <col min="1" max="1" width="16.5" style="1125" customWidth="1"/>
    <col min="2" max="4" width="11.375" style="1125" customWidth="1"/>
    <col min="5" max="5" width="16.125" style="1125" customWidth="1"/>
    <col min="6" max="6" width="7.75" style="1142" customWidth="1"/>
    <col min="7" max="7" width="4" style="1144" customWidth="1"/>
    <col min="8" max="8" width="6.625" style="1125" customWidth="1"/>
    <col min="9" max="10" width="2.875" style="1142" customWidth="1"/>
    <col min="11" max="11" width="2.875" style="1143" customWidth="1"/>
    <col min="12" max="12" width="2.875" style="1142" customWidth="1"/>
    <col min="13" max="13" width="2.875" style="1143" customWidth="1"/>
    <col min="14" max="16" width="2.875" style="1142" customWidth="1"/>
    <col min="17" max="17" width="2.875" style="1143" customWidth="1"/>
    <col min="18" max="18" width="2.875" style="1142" customWidth="1"/>
    <col min="19" max="19" width="2.875" style="1143" customWidth="1"/>
    <col min="20" max="20" width="2.875" style="1142" customWidth="1"/>
    <col min="21" max="21" width="6.125" style="1125" customWidth="1"/>
    <col min="22" max="246" width="9" style="1125"/>
    <col min="247" max="247" width="16.75" style="1125" customWidth="1"/>
    <col min="248" max="248" width="12.75" style="1125" customWidth="1"/>
    <col min="249" max="249" width="11.75" style="1125" customWidth="1"/>
    <col min="250" max="250" width="11.25" style="1125" customWidth="1"/>
    <col min="251" max="251" width="22.25" style="1125" customWidth="1"/>
    <col min="252" max="252" width="10.25" style="1125" customWidth="1"/>
    <col min="253" max="253" width="4.25" style="1125" customWidth="1"/>
    <col min="254" max="254" width="7.875" style="1125" customWidth="1"/>
    <col min="255" max="266" width="4" style="1125" customWidth="1"/>
    <col min="267" max="267" width="12.75" style="1125" customWidth="1"/>
    <col min="268" max="502" width="9" style="1125"/>
    <col min="503" max="503" width="16.75" style="1125" customWidth="1"/>
    <col min="504" max="504" width="12.75" style="1125" customWidth="1"/>
    <col min="505" max="505" width="11.75" style="1125" customWidth="1"/>
    <col min="506" max="506" width="11.25" style="1125" customWidth="1"/>
    <col min="507" max="507" width="22.25" style="1125" customWidth="1"/>
    <col min="508" max="508" width="10.25" style="1125" customWidth="1"/>
    <col min="509" max="509" width="4.25" style="1125" customWidth="1"/>
    <col min="510" max="510" width="7.875" style="1125" customWidth="1"/>
    <col min="511" max="522" width="4" style="1125" customWidth="1"/>
    <col min="523" max="523" width="12.75" style="1125" customWidth="1"/>
    <col min="524" max="758" width="9" style="1125"/>
    <col min="759" max="759" width="16.75" style="1125" customWidth="1"/>
    <col min="760" max="760" width="12.75" style="1125" customWidth="1"/>
    <col min="761" max="761" width="11.75" style="1125" customWidth="1"/>
    <col min="762" max="762" width="11.25" style="1125" customWidth="1"/>
    <col min="763" max="763" width="22.25" style="1125" customWidth="1"/>
    <col min="764" max="764" width="10.25" style="1125" customWidth="1"/>
    <col min="765" max="765" width="4.25" style="1125" customWidth="1"/>
    <col min="766" max="766" width="7.875" style="1125" customWidth="1"/>
    <col min="767" max="778" width="4" style="1125" customWidth="1"/>
    <col min="779" max="779" width="12.75" style="1125" customWidth="1"/>
    <col min="780" max="1014" width="9" style="1125"/>
    <col min="1015" max="1015" width="16.75" style="1125" customWidth="1"/>
    <col min="1016" max="1016" width="12.75" style="1125" customWidth="1"/>
    <col min="1017" max="1017" width="11.75" style="1125" customWidth="1"/>
    <col min="1018" max="1018" width="11.25" style="1125" customWidth="1"/>
    <col min="1019" max="1019" width="22.25" style="1125" customWidth="1"/>
    <col min="1020" max="1020" width="10.25" style="1125" customWidth="1"/>
    <col min="1021" max="1021" width="4.25" style="1125" customWidth="1"/>
    <col min="1022" max="1022" width="7.875" style="1125" customWidth="1"/>
    <col min="1023" max="1034" width="4" style="1125" customWidth="1"/>
    <col min="1035" max="1035" width="12.75" style="1125" customWidth="1"/>
    <col min="1036" max="1270" width="9" style="1125"/>
    <col min="1271" max="1271" width="16.75" style="1125" customWidth="1"/>
    <col min="1272" max="1272" width="12.75" style="1125" customWidth="1"/>
    <col min="1273" max="1273" width="11.75" style="1125" customWidth="1"/>
    <col min="1274" max="1274" width="11.25" style="1125" customWidth="1"/>
    <col min="1275" max="1275" width="22.25" style="1125" customWidth="1"/>
    <col min="1276" max="1276" width="10.25" style="1125" customWidth="1"/>
    <col min="1277" max="1277" width="4.25" style="1125" customWidth="1"/>
    <col min="1278" max="1278" width="7.875" style="1125" customWidth="1"/>
    <col min="1279" max="1290" width="4" style="1125" customWidth="1"/>
    <col min="1291" max="1291" width="12.75" style="1125" customWidth="1"/>
    <col min="1292" max="1526" width="9" style="1125"/>
    <col min="1527" max="1527" width="16.75" style="1125" customWidth="1"/>
    <col min="1528" max="1528" width="12.75" style="1125" customWidth="1"/>
    <col min="1529" max="1529" width="11.75" style="1125" customWidth="1"/>
    <col min="1530" max="1530" width="11.25" style="1125" customWidth="1"/>
    <col min="1531" max="1531" width="22.25" style="1125" customWidth="1"/>
    <col min="1532" max="1532" width="10.25" style="1125" customWidth="1"/>
    <col min="1533" max="1533" width="4.25" style="1125" customWidth="1"/>
    <col min="1534" max="1534" width="7.875" style="1125" customWidth="1"/>
    <col min="1535" max="1546" width="4" style="1125" customWidth="1"/>
    <col min="1547" max="1547" width="12.75" style="1125" customWidth="1"/>
    <col min="1548" max="1782" width="9" style="1125"/>
    <col min="1783" max="1783" width="16.75" style="1125" customWidth="1"/>
    <col min="1784" max="1784" width="12.75" style="1125" customWidth="1"/>
    <col min="1785" max="1785" width="11.75" style="1125" customWidth="1"/>
    <col min="1786" max="1786" width="11.25" style="1125" customWidth="1"/>
    <col min="1787" max="1787" width="22.25" style="1125" customWidth="1"/>
    <col min="1788" max="1788" width="10.25" style="1125" customWidth="1"/>
    <col min="1789" max="1789" width="4.25" style="1125" customWidth="1"/>
    <col min="1790" max="1790" width="7.875" style="1125" customWidth="1"/>
    <col min="1791" max="1802" width="4" style="1125" customWidth="1"/>
    <col min="1803" max="1803" width="12.75" style="1125" customWidth="1"/>
    <col min="1804" max="2038" width="9" style="1125"/>
    <col min="2039" max="2039" width="16.75" style="1125" customWidth="1"/>
    <col min="2040" max="2040" width="12.75" style="1125" customWidth="1"/>
    <col min="2041" max="2041" width="11.75" style="1125" customWidth="1"/>
    <col min="2042" max="2042" width="11.25" style="1125" customWidth="1"/>
    <col min="2043" max="2043" width="22.25" style="1125" customWidth="1"/>
    <col min="2044" max="2044" width="10.25" style="1125" customWidth="1"/>
    <col min="2045" max="2045" width="4.25" style="1125" customWidth="1"/>
    <col min="2046" max="2046" width="7.875" style="1125" customWidth="1"/>
    <col min="2047" max="2058" width="4" style="1125" customWidth="1"/>
    <col min="2059" max="2059" width="12.75" style="1125" customWidth="1"/>
    <col min="2060" max="2294" width="9" style="1125"/>
    <col min="2295" max="2295" width="16.75" style="1125" customWidth="1"/>
    <col min="2296" max="2296" width="12.75" style="1125" customWidth="1"/>
    <col min="2297" max="2297" width="11.75" style="1125" customWidth="1"/>
    <col min="2298" max="2298" width="11.25" style="1125" customWidth="1"/>
    <col min="2299" max="2299" width="22.25" style="1125" customWidth="1"/>
    <col min="2300" max="2300" width="10.25" style="1125" customWidth="1"/>
    <col min="2301" max="2301" width="4.25" style="1125" customWidth="1"/>
    <col min="2302" max="2302" width="7.875" style="1125" customWidth="1"/>
    <col min="2303" max="2314" width="4" style="1125" customWidth="1"/>
    <col min="2315" max="2315" width="12.75" style="1125" customWidth="1"/>
    <col min="2316" max="2550" width="9" style="1125"/>
    <col min="2551" max="2551" width="16.75" style="1125" customWidth="1"/>
    <col min="2552" max="2552" width="12.75" style="1125" customWidth="1"/>
    <col min="2553" max="2553" width="11.75" style="1125" customWidth="1"/>
    <col min="2554" max="2554" width="11.25" style="1125" customWidth="1"/>
    <col min="2555" max="2555" width="22.25" style="1125" customWidth="1"/>
    <col min="2556" max="2556" width="10.25" style="1125" customWidth="1"/>
    <col min="2557" max="2557" width="4.25" style="1125" customWidth="1"/>
    <col min="2558" max="2558" width="7.875" style="1125" customWidth="1"/>
    <col min="2559" max="2570" width="4" style="1125" customWidth="1"/>
    <col min="2571" max="2571" width="12.75" style="1125" customWidth="1"/>
    <col min="2572" max="2806" width="9" style="1125"/>
    <col min="2807" max="2807" width="16.75" style="1125" customWidth="1"/>
    <col min="2808" max="2808" width="12.75" style="1125" customWidth="1"/>
    <col min="2809" max="2809" width="11.75" style="1125" customWidth="1"/>
    <col min="2810" max="2810" width="11.25" style="1125" customWidth="1"/>
    <col min="2811" max="2811" width="22.25" style="1125" customWidth="1"/>
    <col min="2812" max="2812" width="10.25" style="1125" customWidth="1"/>
    <col min="2813" max="2813" width="4.25" style="1125" customWidth="1"/>
    <col min="2814" max="2814" width="7.875" style="1125" customWidth="1"/>
    <col min="2815" max="2826" width="4" style="1125" customWidth="1"/>
    <col min="2827" max="2827" width="12.75" style="1125" customWidth="1"/>
    <col min="2828" max="3062" width="9" style="1125"/>
    <col min="3063" max="3063" width="16.75" style="1125" customWidth="1"/>
    <col min="3064" max="3064" width="12.75" style="1125" customWidth="1"/>
    <col min="3065" max="3065" width="11.75" style="1125" customWidth="1"/>
    <col min="3066" max="3066" width="11.25" style="1125" customWidth="1"/>
    <col min="3067" max="3067" width="22.25" style="1125" customWidth="1"/>
    <col min="3068" max="3068" width="10.25" style="1125" customWidth="1"/>
    <col min="3069" max="3069" width="4.25" style="1125" customWidth="1"/>
    <col min="3070" max="3070" width="7.875" style="1125" customWidth="1"/>
    <col min="3071" max="3082" width="4" style="1125" customWidth="1"/>
    <col min="3083" max="3083" width="12.75" style="1125" customWidth="1"/>
    <col min="3084" max="3318" width="9" style="1125"/>
    <col min="3319" max="3319" width="16.75" style="1125" customWidth="1"/>
    <col min="3320" max="3320" width="12.75" style="1125" customWidth="1"/>
    <col min="3321" max="3321" width="11.75" style="1125" customWidth="1"/>
    <col min="3322" max="3322" width="11.25" style="1125" customWidth="1"/>
    <col min="3323" max="3323" width="22.25" style="1125" customWidth="1"/>
    <col min="3324" max="3324" width="10.25" style="1125" customWidth="1"/>
    <col min="3325" max="3325" width="4.25" style="1125" customWidth="1"/>
    <col min="3326" max="3326" width="7.875" style="1125" customWidth="1"/>
    <col min="3327" max="3338" width="4" style="1125" customWidth="1"/>
    <col min="3339" max="3339" width="12.75" style="1125" customWidth="1"/>
    <col min="3340" max="3574" width="9" style="1125"/>
    <col min="3575" max="3575" width="16.75" style="1125" customWidth="1"/>
    <col min="3576" max="3576" width="12.75" style="1125" customWidth="1"/>
    <col min="3577" max="3577" width="11.75" style="1125" customWidth="1"/>
    <col min="3578" max="3578" width="11.25" style="1125" customWidth="1"/>
    <col min="3579" max="3579" width="22.25" style="1125" customWidth="1"/>
    <col min="3580" max="3580" width="10.25" style="1125" customWidth="1"/>
    <col min="3581" max="3581" width="4.25" style="1125" customWidth="1"/>
    <col min="3582" max="3582" width="7.875" style="1125" customWidth="1"/>
    <col min="3583" max="3594" width="4" style="1125" customWidth="1"/>
    <col min="3595" max="3595" width="12.75" style="1125" customWidth="1"/>
    <col min="3596" max="3830" width="9" style="1125"/>
    <col min="3831" max="3831" width="16.75" style="1125" customWidth="1"/>
    <col min="3832" max="3832" width="12.75" style="1125" customWidth="1"/>
    <col min="3833" max="3833" width="11.75" style="1125" customWidth="1"/>
    <col min="3834" max="3834" width="11.25" style="1125" customWidth="1"/>
    <col min="3835" max="3835" width="22.25" style="1125" customWidth="1"/>
    <col min="3836" max="3836" width="10.25" style="1125" customWidth="1"/>
    <col min="3837" max="3837" width="4.25" style="1125" customWidth="1"/>
    <col min="3838" max="3838" width="7.875" style="1125" customWidth="1"/>
    <col min="3839" max="3850" width="4" style="1125" customWidth="1"/>
    <col min="3851" max="3851" width="12.75" style="1125" customWidth="1"/>
    <col min="3852" max="4086" width="9" style="1125"/>
    <col min="4087" max="4087" width="16.75" style="1125" customWidth="1"/>
    <col min="4088" max="4088" width="12.75" style="1125" customWidth="1"/>
    <col min="4089" max="4089" width="11.75" style="1125" customWidth="1"/>
    <col min="4090" max="4090" width="11.25" style="1125" customWidth="1"/>
    <col min="4091" max="4091" width="22.25" style="1125" customWidth="1"/>
    <col min="4092" max="4092" width="10.25" style="1125" customWidth="1"/>
    <col min="4093" max="4093" width="4.25" style="1125" customWidth="1"/>
    <col min="4094" max="4094" width="7.875" style="1125" customWidth="1"/>
    <col min="4095" max="4106" width="4" style="1125" customWidth="1"/>
    <col min="4107" max="4107" width="12.75" style="1125" customWidth="1"/>
    <col min="4108" max="4342" width="9" style="1125"/>
    <col min="4343" max="4343" width="16.75" style="1125" customWidth="1"/>
    <col min="4344" max="4344" width="12.75" style="1125" customWidth="1"/>
    <col min="4345" max="4345" width="11.75" style="1125" customWidth="1"/>
    <col min="4346" max="4346" width="11.25" style="1125" customWidth="1"/>
    <col min="4347" max="4347" width="22.25" style="1125" customWidth="1"/>
    <col min="4348" max="4348" width="10.25" style="1125" customWidth="1"/>
    <col min="4349" max="4349" width="4.25" style="1125" customWidth="1"/>
    <col min="4350" max="4350" width="7.875" style="1125" customWidth="1"/>
    <col min="4351" max="4362" width="4" style="1125" customWidth="1"/>
    <col min="4363" max="4363" width="12.75" style="1125" customWidth="1"/>
    <col min="4364" max="4598" width="9" style="1125"/>
    <col min="4599" max="4599" width="16.75" style="1125" customWidth="1"/>
    <col min="4600" max="4600" width="12.75" style="1125" customWidth="1"/>
    <col min="4601" max="4601" width="11.75" style="1125" customWidth="1"/>
    <col min="4602" max="4602" width="11.25" style="1125" customWidth="1"/>
    <col min="4603" max="4603" width="22.25" style="1125" customWidth="1"/>
    <col min="4604" max="4604" width="10.25" style="1125" customWidth="1"/>
    <col min="4605" max="4605" width="4.25" style="1125" customWidth="1"/>
    <col min="4606" max="4606" width="7.875" style="1125" customWidth="1"/>
    <col min="4607" max="4618" width="4" style="1125" customWidth="1"/>
    <col min="4619" max="4619" width="12.75" style="1125" customWidth="1"/>
    <col min="4620" max="4854" width="9" style="1125"/>
    <col min="4855" max="4855" width="16.75" style="1125" customWidth="1"/>
    <col min="4856" max="4856" width="12.75" style="1125" customWidth="1"/>
    <col min="4857" max="4857" width="11.75" style="1125" customWidth="1"/>
    <col min="4858" max="4858" width="11.25" style="1125" customWidth="1"/>
    <col min="4859" max="4859" width="22.25" style="1125" customWidth="1"/>
    <col min="4860" max="4860" width="10.25" style="1125" customWidth="1"/>
    <col min="4861" max="4861" width="4.25" style="1125" customWidth="1"/>
    <col min="4862" max="4862" width="7.875" style="1125" customWidth="1"/>
    <col min="4863" max="4874" width="4" style="1125" customWidth="1"/>
    <col min="4875" max="4875" width="12.75" style="1125" customWidth="1"/>
    <col min="4876" max="5110" width="9" style="1125"/>
    <col min="5111" max="5111" width="16.75" style="1125" customWidth="1"/>
    <col min="5112" max="5112" width="12.75" style="1125" customWidth="1"/>
    <col min="5113" max="5113" width="11.75" style="1125" customWidth="1"/>
    <col min="5114" max="5114" width="11.25" style="1125" customWidth="1"/>
    <col min="5115" max="5115" width="22.25" style="1125" customWidth="1"/>
    <col min="5116" max="5116" width="10.25" style="1125" customWidth="1"/>
    <col min="5117" max="5117" width="4.25" style="1125" customWidth="1"/>
    <col min="5118" max="5118" width="7.875" style="1125" customWidth="1"/>
    <col min="5119" max="5130" width="4" style="1125" customWidth="1"/>
    <col min="5131" max="5131" width="12.75" style="1125" customWidth="1"/>
    <col min="5132" max="5366" width="9" style="1125"/>
    <col min="5367" max="5367" width="16.75" style="1125" customWidth="1"/>
    <col min="5368" max="5368" width="12.75" style="1125" customWidth="1"/>
    <col min="5369" max="5369" width="11.75" style="1125" customWidth="1"/>
    <col min="5370" max="5370" width="11.25" style="1125" customWidth="1"/>
    <col min="5371" max="5371" width="22.25" style="1125" customWidth="1"/>
    <col min="5372" max="5372" width="10.25" style="1125" customWidth="1"/>
    <col min="5373" max="5373" width="4.25" style="1125" customWidth="1"/>
    <col min="5374" max="5374" width="7.875" style="1125" customWidth="1"/>
    <col min="5375" max="5386" width="4" style="1125" customWidth="1"/>
    <col min="5387" max="5387" width="12.75" style="1125" customWidth="1"/>
    <col min="5388" max="5622" width="9" style="1125"/>
    <col min="5623" max="5623" width="16.75" style="1125" customWidth="1"/>
    <col min="5624" max="5624" width="12.75" style="1125" customWidth="1"/>
    <col min="5625" max="5625" width="11.75" style="1125" customWidth="1"/>
    <col min="5626" max="5626" width="11.25" style="1125" customWidth="1"/>
    <col min="5627" max="5627" width="22.25" style="1125" customWidth="1"/>
    <col min="5628" max="5628" width="10.25" style="1125" customWidth="1"/>
    <col min="5629" max="5629" width="4.25" style="1125" customWidth="1"/>
    <col min="5630" max="5630" width="7.875" style="1125" customWidth="1"/>
    <col min="5631" max="5642" width="4" style="1125" customWidth="1"/>
    <col min="5643" max="5643" width="12.75" style="1125" customWidth="1"/>
    <col min="5644" max="5878" width="9" style="1125"/>
    <col min="5879" max="5879" width="16.75" style="1125" customWidth="1"/>
    <col min="5880" max="5880" width="12.75" style="1125" customWidth="1"/>
    <col min="5881" max="5881" width="11.75" style="1125" customWidth="1"/>
    <col min="5882" max="5882" width="11.25" style="1125" customWidth="1"/>
    <col min="5883" max="5883" width="22.25" style="1125" customWidth="1"/>
    <col min="5884" max="5884" width="10.25" style="1125" customWidth="1"/>
    <col min="5885" max="5885" width="4.25" style="1125" customWidth="1"/>
    <col min="5886" max="5886" width="7.875" style="1125" customWidth="1"/>
    <col min="5887" max="5898" width="4" style="1125" customWidth="1"/>
    <col min="5899" max="5899" width="12.75" style="1125" customWidth="1"/>
    <col min="5900" max="6134" width="9" style="1125"/>
    <col min="6135" max="6135" width="16.75" style="1125" customWidth="1"/>
    <col min="6136" max="6136" width="12.75" style="1125" customWidth="1"/>
    <col min="6137" max="6137" width="11.75" style="1125" customWidth="1"/>
    <col min="6138" max="6138" width="11.25" style="1125" customWidth="1"/>
    <col min="6139" max="6139" width="22.25" style="1125" customWidth="1"/>
    <col min="6140" max="6140" width="10.25" style="1125" customWidth="1"/>
    <col min="6141" max="6141" width="4.25" style="1125" customWidth="1"/>
    <col min="6142" max="6142" width="7.875" style="1125" customWidth="1"/>
    <col min="6143" max="6154" width="4" style="1125" customWidth="1"/>
    <col min="6155" max="6155" width="12.75" style="1125" customWidth="1"/>
    <col min="6156" max="6390" width="9" style="1125"/>
    <col min="6391" max="6391" width="16.75" style="1125" customWidth="1"/>
    <col min="6392" max="6392" width="12.75" style="1125" customWidth="1"/>
    <col min="6393" max="6393" width="11.75" style="1125" customWidth="1"/>
    <col min="6394" max="6394" width="11.25" style="1125" customWidth="1"/>
    <col min="6395" max="6395" width="22.25" style="1125" customWidth="1"/>
    <col min="6396" max="6396" width="10.25" style="1125" customWidth="1"/>
    <col min="6397" max="6397" width="4.25" style="1125" customWidth="1"/>
    <col min="6398" max="6398" width="7.875" style="1125" customWidth="1"/>
    <col min="6399" max="6410" width="4" style="1125" customWidth="1"/>
    <col min="6411" max="6411" width="12.75" style="1125" customWidth="1"/>
    <col min="6412" max="6646" width="9" style="1125"/>
    <col min="6647" max="6647" width="16.75" style="1125" customWidth="1"/>
    <col min="6648" max="6648" width="12.75" style="1125" customWidth="1"/>
    <col min="6649" max="6649" width="11.75" style="1125" customWidth="1"/>
    <col min="6650" max="6650" width="11.25" style="1125" customWidth="1"/>
    <col min="6651" max="6651" width="22.25" style="1125" customWidth="1"/>
    <col min="6652" max="6652" width="10.25" style="1125" customWidth="1"/>
    <col min="6653" max="6653" width="4.25" style="1125" customWidth="1"/>
    <col min="6654" max="6654" width="7.875" style="1125" customWidth="1"/>
    <col min="6655" max="6666" width="4" style="1125" customWidth="1"/>
    <col min="6667" max="6667" width="12.75" style="1125" customWidth="1"/>
    <col min="6668" max="6902" width="9" style="1125"/>
    <col min="6903" max="6903" width="16.75" style="1125" customWidth="1"/>
    <col min="6904" max="6904" width="12.75" style="1125" customWidth="1"/>
    <col min="6905" max="6905" width="11.75" style="1125" customWidth="1"/>
    <col min="6906" max="6906" width="11.25" style="1125" customWidth="1"/>
    <col min="6907" max="6907" width="22.25" style="1125" customWidth="1"/>
    <col min="6908" max="6908" width="10.25" style="1125" customWidth="1"/>
    <col min="6909" max="6909" width="4.25" style="1125" customWidth="1"/>
    <col min="6910" max="6910" width="7.875" style="1125" customWidth="1"/>
    <col min="6911" max="6922" width="4" style="1125" customWidth="1"/>
    <col min="6923" max="6923" width="12.75" style="1125" customWidth="1"/>
    <col min="6924" max="7158" width="9" style="1125"/>
    <col min="7159" max="7159" width="16.75" style="1125" customWidth="1"/>
    <col min="7160" max="7160" width="12.75" style="1125" customWidth="1"/>
    <col min="7161" max="7161" width="11.75" style="1125" customWidth="1"/>
    <col min="7162" max="7162" width="11.25" style="1125" customWidth="1"/>
    <col min="7163" max="7163" width="22.25" style="1125" customWidth="1"/>
    <col min="7164" max="7164" width="10.25" style="1125" customWidth="1"/>
    <col min="7165" max="7165" width="4.25" style="1125" customWidth="1"/>
    <col min="7166" max="7166" width="7.875" style="1125" customWidth="1"/>
    <col min="7167" max="7178" width="4" style="1125" customWidth="1"/>
    <col min="7179" max="7179" width="12.75" style="1125" customWidth="1"/>
    <col min="7180" max="7414" width="9" style="1125"/>
    <col min="7415" max="7415" width="16.75" style="1125" customWidth="1"/>
    <col min="7416" max="7416" width="12.75" style="1125" customWidth="1"/>
    <col min="7417" max="7417" width="11.75" style="1125" customWidth="1"/>
    <col min="7418" max="7418" width="11.25" style="1125" customWidth="1"/>
    <col min="7419" max="7419" width="22.25" style="1125" customWidth="1"/>
    <col min="7420" max="7420" width="10.25" style="1125" customWidth="1"/>
    <col min="7421" max="7421" width="4.25" style="1125" customWidth="1"/>
    <col min="7422" max="7422" width="7.875" style="1125" customWidth="1"/>
    <col min="7423" max="7434" width="4" style="1125" customWidth="1"/>
    <col min="7435" max="7435" width="12.75" style="1125" customWidth="1"/>
    <col min="7436" max="7670" width="9" style="1125"/>
    <col min="7671" max="7671" width="16.75" style="1125" customWidth="1"/>
    <col min="7672" max="7672" width="12.75" style="1125" customWidth="1"/>
    <col min="7673" max="7673" width="11.75" style="1125" customWidth="1"/>
    <col min="7674" max="7674" width="11.25" style="1125" customWidth="1"/>
    <col min="7675" max="7675" width="22.25" style="1125" customWidth="1"/>
    <col min="7676" max="7676" width="10.25" style="1125" customWidth="1"/>
    <col min="7677" max="7677" width="4.25" style="1125" customWidth="1"/>
    <col min="7678" max="7678" width="7.875" style="1125" customWidth="1"/>
    <col min="7679" max="7690" width="4" style="1125" customWidth="1"/>
    <col min="7691" max="7691" width="12.75" style="1125" customWidth="1"/>
    <col min="7692" max="7926" width="9" style="1125"/>
    <col min="7927" max="7927" width="16.75" style="1125" customWidth="1"/>
    <col min="7928" max="7928" width="12.75" style="1125" customWidth="1"/>
    <col min="7929" max="7929" width="11.75" style="1125" customWidth="1"/>
    <col min="7930" max="7930" width="11.25" style="1125" customWidth="1"/>
    <col min="7931" max="7931" width="22.25" style="1125" customWidth="1"/>
    <col min="7932" max="7932" width="10.25" style="1125" customWidth="1"/>
    <col min="7933" max="7933" width="4.25" style="1125" customWidth="1"/>
    <col min="7934" max="7934" width="7.875" style="1125" customWidth="1"/>
    <col min="7935" max="7946" width="4" style="1125" customWidth="1"/>
    <col min="7947" max="7947" width="12.75" style="1125" customWidth="1"/>
    <col min="7948" max="8182" width="9" style="1125"/>
    <col min="8183" max="8183" width="16.75" style="1125" customWidth="1"/>
    <col min="8184" max="8184" width="12.75" style="1125" customWidth="1"/>
    <col min="8185" max="8185" width="11.75" style="1125" customWidth="1"/>
    <col min="8186" max="8186" width="11.25" style="1125" customWidth="1"/>
    <col min="8187" max="8187" width="22.25" style="1125" customWidth="1"/>
    <col min="8188" max="8188" width="10.25" style="1125" customWidth="1"/>
    <col min="8189" max="8189" width="4.25" style="1125" customWidth="1"/>
    <col min="8190" max="8190" width="7.875" style="1125" customWidth="1"/>
    <col min="8191" max="8202" width="4" style="1125" customWidth="1"/>
    <col min="8203" max="8203" width="12.75" style="1125" customWidth="1"/>
    <col min="8204" max="8438" width="9" style="1125"/>
    <col min="8439" max="8439" width="16.75" style="1125" customWidth="1"/>
    <col min="8440" max="8440" width="12.75" style="1125" customWidth="1"/>
    <col min="8441" max="8441" width="11.75" style="1125" customWidth="1"/>
    <col min="8442" max="8442" width="11.25" style="1125" customWidth="1"/>
    <col min="8443" max="8443" width="22.25" style="1125" customWidth="1"/>
    <col min="8444" max="8444" width="10.25" style="1125" customWidth="1"/>
    <col min="8445" max="8445" width="4.25" style="1125" customWidth="1"/>
    <col min="8446" max="8446" width="7.875" style="1125" customWidth="1"/>
    <col min="8447" max="8458" width="4" style="1125" customWidth="1"/>
    <col min="8459" max="8459" width="12.75" style="1125" customWidth="1"/>
    <col min="8460" max="8694" width="9" style="1125"/>
    <col min="8695" max="8695" width="16.75" style="1125" customWidth="1"/>
    <col min="8696" max="8696" width="12.75" style="1125" customWidth="1"/>
    <col min="8697" max="8697" width="11.75" style="1125" customWidth="1"/>
    <col min="8698" max="8698" width="11.25" style="1125" customWidth="1"/>
    <col min="8699" max="8699" width="22.25" style="1125" customWidth="1"/>
    <col min="8700" max="8700" width="10.25" style="1125" customWidth="1"/>
    <col min="8701" max="8701" width="4.25" style="1125" customWidth="1"/>
    <col min="8702" max="8702" width="7.875" style="1125" customWidth="1"/>
    <col min="8703" max="8714" width="4" style="1125" customWidth="1"/>
    <col min="8715" max="8715" width="12.75" style="1125" customWidth="1"/>
    <col min="8716" max="8950" width="9" style="1125"/>
    <col min="8951" max="8951" width="16.75" style="1125" customWidth="1"/>
    <col min="8952" max="8952" width="12.75" style="1125" customWidth="1"/>
    <col min="8953" max="8953" width="11.75" style="1125" customWidth="1"/>
    <col min="8954" max="8954" width="11.25" style="1125" customWidth="1"/>
    <col min="8955" max="8955" width="22.25" style="1125" customWidth="1"/>
    <col min="8956" max="8956" width="10.25" style="1125" customWidth="1"/>
    <col min="8957" max="8957" width="4.25" style="1125" customWidth="1"/>
    <col min="8958" max="8958" width="7.875" style="1125" customWidth="1"/>
    <col min="8959" max="8970" width="4" style="1125" customWidth="1"/>
    <col min="8971" max="8971" width="12.75" style="1125" customWidth="1"/>
    <col min="8972" max="9206" width="9" style="1125"/>
    <col min="9207" max="9207" width="16.75" style="1125" customWidth="1"/>
    <col min="9208" max="9208" width="12.75" style="1125" customWidth="1"/>
    <col min="9209" max="9209" width="11.75" style="1125" customWidth="1"/>
    <col min="9210" max="9210" width="11.25" style="1125" customWidth="1"/>
    <col min="9211" max="9211" width="22.25" style="1125" customWidth="1"/>
    <col min="9212" max="9212" width="10.25" style="1125" customWidth="1"/>
    <col min="9213" max="9213" width="4.25" style="1125" customWidth="1"/>
    <col min="9214" max="9214" width="7.875" style="1125" customWidth="1"/>
    <col min="9215" max="9226" width="4" style="1125" customWidth="1"/>
    <col min="9227" max="9227" width="12.75" style="1125" customWidth="1"/>
    <col min="9228" max="9462" width="9" style="1125"/>
    <col min="9463" max="9463" width="16.75" style="1125" customWidth="1"/>
    <col min="9464" max="9464" width="12.75" style="1125" customWidth="1"/>
    <col min="9465" max="9465" width="11.75" style="1125" customWidth="1"/>
    <col min="9466" max="9466" width="11.25" style="1125" customWidth="1"/>
    <col min="9467" max="9467" width="22.25" style="1125" customWidth="1"/>
    <col min="9468" max="9468" width="10.25" style="1125" customWidth="1"/>
    <col min="9469" max="9469" width="4.25" style="1125" customWidth="1"/>
    <col min="9470" max="9470" width="7.875" style="1125" customWidth="1"/>
    <col min="9471" max="9482" width="4" style="1125" customWidth="1"/>
    <col min="9483" max="9483" width="12.75" style="1125" customWidth="1"/>
    <col min="9484" max="9718" width="9" style="1125"/>
    <col min="9719" max="9719" width="16.75" style="1125" customWidth="1"/>
    <col min="9720" max="9720" width="12.75" style="1125" customWidth="1"/>
    <col min="9721" max="9721" width="11.75" style="1125" customWidth="1"/>
    <col min="9722" max="9722" width="11.25" style="1125" customWidth="1"/>
    <col min="9723" max="9723" width="22.25" style="1125" customWidth="1"/>
    <col min="9724" max="9724" width="10.25" style="1125" customWidth="1"/>
    <col min="9725" max="9725" width="4.25" style="1125" customWidth="1"/>
    <col min="9726" max="9726" width="7.875" style="1125" customWidth="1"/>
    <col min="9727" max="9738" width="4" style="1125" customWidth="1"/>
    <col min="9739" max="9739" width="12.75" style="1125" customWidth="1"/>
    <col min="9740" max="9974" width="9" style="1125"/>
    <col min="9975" max="9975" width="16.75" style="1125" customWidth="1"/>
    <col min="9976" max="9976" width="12.75" style="1125" customWidth="1"/>
    <col min="9977" max="9977" width="11.75" style="1125" customWidth="1"/>
    <col min="9978" max="9978" width="11.25" style="1125" customWidth="1"/>
    <col min="9979" max="9979" width="22.25" style="1125" customWidth="1"/>
    <col min="9980" max="9980" width="10.25" style="1125" customWidth="1"/>
    <col min="9981" max="9981" width="4.25" style="1125" customWidth="1"/>
    <col min="9982" max="9982" width="7.875" style="1125" customWidth="1"/>
    <col min="9983" max="9994" width="4" style="1125" customWidth="1"/>
    <col min="9995" max="9995" width="12.75" style="1125" customWidth="1"/>
    <col min="9996" max="10230" width="9" style="1125"/>
    <col min="10231" max="10231" width="16.75" style="1125" customWidth="1"/>
    <col min="10232" max="10232" width="12.75" style="1125" customWidth="1"/>
    <col min="10233" max="10233" width="11.75" style="1125" customWidth="1"/>
    <col min="10234" max="10234" width="11.25" style="1125" customWidth="1"/>
    <col min="10235" max="10235" width="22.25" style="1125" customWidth="1"/>
    <col min="10236" max="10236" width="10.25" style="1125" customWidth="1"/>
    <col min="10237" max="10237" width="4.25" style="1125" customWidth="1"/>
    <col min="10238" max="10238" width="7.875" style="1125" customWidth="1"/>
    <col min="10239" max="10250" width="4" style="1125" customWidth="1"/>
    <col min="10251" max="10251" width="12.75" style="1125" customWidth="1"/>
    <col min="10252" max="10486" width="9" style="1125"/>
    <col min="10487" max="10487" width="16.75" style="1125" customWidth="1"/>
    <col min="10488" max="10488" width="12.75" style="1125" customWidth="1"/>
    <col min="10489" max="10489" width="11.75" style="1125" customWidth="1"/>
    <col min="10490" max="10490" width="11.25" style="1125" customWidth="1"/>
    <col min="10491" max="10491" width="22.25" style="1125" customWidth="1"/>
    <col min="10492" max="10492" width="10.25" style="1125" customWidth="1"/>
    <col min="10493" max="10493" width="4.25" style="1125" customWidth="1"/>
    <col min="10494" max="10494" width="7.875" style="1125" customWidth="1"/>
    <col min="10495" max="10506" width="4" style="1125" customWidth="1"/>
    <col min="10507" max="10507" width="12.75" style="1125" customWidth="1"/>
    <col min="10508" max="10742" width="9" style="1125"/>
    <col min="10743" max="10743" width="16.75" style="1125" customWidth="1"/>
    <col min="10744" max="10744" width="12.75" style="1125" customWidth="1"/>
    <col min="10745" max="10745" width="11.75" style="1125" customWidth="1"/>
    <col min="10746" max="10746" width="11.25" style="1125" customWidth="1"/>
    <col min="10747" max="10747" width="22.25" style="1125" customWidth="1"/>
    <col min="10748" max="10748" width="10.25" style="1125" customWidth="1"/>
    <col min="10749" max="10749" width="4.25" style="1125" customWidth="1"/>
    <col min="10750" max="10750" width="7.875" style="1125" customWidth="1"/>
    <col min="10751" max="10762" width="4" style="1125" customWidth="1"/>
    <col min="10763" max="10763" width="12.75" style="1125" customWidth="1"/>
    <col min="10764" max="10998" width="9" style="1125"/>
    <col min="10999" max="10999" width="16.75" style="1125" customWidth="1"/>
    <col min="11000" max="11000" width="12.75" style="1125" customWidth="1"/>
    <col min="11001" max="11001" width="11.75" style="1125" customWidth="1"/>
    <col min="11002" max="11002" width="11.25" style="1125" customWidth="1"/>
    <col min="11003" max="11003" width="22.25" style="1125" customWidth="1"/>
    <col min="11004" max="11004" width="10.25" style="1125" customWidth="1"/>
    <col min="11005" max="11005" width="4.25" style="1125" customWidth="1"/>
    <col min="11006" max="11006" width="7.875" style="1125" customWidth="1"/>
    <col min="11007" max="11018" width="4" style="1125" customWidth="1"/>
    <col min="11019" max="11019" width="12.75" style="1125" customWidth="1"/>
    <col min="11020" max="11254" width="9" style="1125"/>
    <col min="11255" max="11255" width="16.75" style="1125" customWidth="1"/>
    <col min="11256" max="11256" width="12.75" style="1125" customWidth="1"/>
    <col min="11257" max="11257" width="11.75" style="1125" customWidth="1"/>
    <col min="11258" max="11258" width="11.25" style="1125" customWidth="1"/>
    <col min="11259" max="11259" width="22.25" style="1125" customWidth="1"/>
    <col min="11260" max="11260" width="10.25" style="1125" customWidth="1"/>
    <col min="11261" max="11261" width="4.25" style="1125" customWidth="1"/>
    <col min="11262" max="11262" width="7.875" style="1125" customWidth="1"/>
    <col min="11263" max="11274" width="4" style="1125" customWidth="1"/>
    <col min="11275" max="11275" width="12.75" style="1125" customWidth="1"/>
    <col min="11276" max="11510" width="9" style="1125"/>
    <col min="11511" max="11511" width="16.75" style="1125" customWidth="1"/>
    <col min="11512" max="11512" width="12.75" style="1125" customWidth="1"/>
    <col min="11513" max="11513" width="11.75" style="1125" customWidth="1"/>
    <col min="11514" max="11514" width="11.25" style="1125" customWidth="1"/>
    <col min="11515" max="11515" width="22.25" style="1125" customWidth="1"/>
    <col min="11516" max="11516" width="10.25" style="1125" customWidth="1"/>
    <col min="11517" max="11517" width="4.25" style="1125" customWidth="1"/>
    <col min="11518" max="11518" width="7.875" style="1125" customWidth="1"/>
    <col min="11519" max="11530" width="4" style="1125" customWidth="1"/>
    <col min="11531" max="11531" width="12.75" style="1125" customWidth="1"/>
    <col min="11532" max="11766" width="9" style="1125"/>
    <col min="11767" max="11767" width="16.75" style="1125" customWidth="1"/>
    <col min="11768" max="11768" width="12.75" style="1125" customWidth="1"/>
    <col min="11769" max="11769" width="11.75" style="1125" customWidth="1"/>
    <col min="11770" max="11770" width="11.25" style="1125" customWidth="1"/>
    <col min="11771" max="11771" width="22.25" style="1125" customWidth="1"/>
    <col min="11772" max="11772" width="10.25" style="1125" customWidth="1"/>
    <col min="11773" max="11773" width="4.25" style="1125" customWidth="1"/>
    <col min="11774" max="11774" width="7.875" style="1125" customWidth="1"/>
    <col min="11775" max="11786" width="4" style="1125" customWidth="1"/>
    <col min="11787" max="11787" width="12.75" style="1125" customWidth="1"/>
    <col min="11788" max="12022" width="9" style="1125"/>
    <col min="12023" max="12023" width="16.75" style="1125" customWidth="1"/>
    <col min="12024" max="12024" width="12.75" style="1125" customWidth="1"/>
    <col min="12025" max="12025" width="11.75" style="1125" customWidth="1"/>
    <col min="12026" max="12026" width="11.25" style="1125" customWidth="1"/>
    <col min="12027" max="12027" width="22.25" style="1125" customWidth="1"/>
    <col min="12028" max="12028" width="10.25" style="1125" customWidth="1"/>
    <col min="12029" max="12029" width="4.25" style="1125" customWidth="1"/>
    <col min="12030" max="12030" width="7.875" style="1125" customWidth="1"/>
    <col min="12031" max="12042" width="4" style="1125" customWidth="1"/>
    <col min="12043" max="12043" width="12.75" style="1125" customWidth="1"/>
    <col min="12044" max="12278" width="9" style="1125"/>
    <col min="12279" max="12279" width="16.75" style="1125" customWidth="1"/>
    <col min="12280" max="12280" width="12.75" style="1125" customWidth="1"/>
    <col min="12281" max="12281" width="11.75" style="1125" customWidth="1"/>
    <col min="12282" max="12282" width="11.25" style="1125" customWidth="1"/>
    <col min="12283" max="12283" width="22.25" style="1125" customWidth="1"/>
    <col min="12284" max="12284" width="10.25" style="1125" customWidth="1"/>
    <col min="12285" max="12285" width="4.25" style="1125" customWidth="1"/>
    <col min="12286" max="12286" width="7.875" style="1125" customWidth="1"/>
    <col min="12287" max="12298" width="4" style="1125" customWidth="1"/>
    <col min="12299" max="12299" width="12.75" style="1125" customWidth="1"/>
    <col min="12300" max="12534" width="9" style="1125"/>
    <col min="12535" max="12535" width="16.75" style="1125" customWidth="1"/>
    <col min="12536" max="12536" width="12.75" style="1125" customWidth="1"/>
    <col min="12537" max="12537" width="11.75" style="1125" customWidth="1"/>
    <col min="12538" max="12538" width="11.25" style="1125" customWidth="1"/>
    <col min="12539" max="12539" width="22.25" style="1125" customWidth="1"/>
    <col min="12540" max="12540" width="10.25" style="1125" customWidth="1"/>
    <col min="12541" max="12541" width="4.25" style="1125" customWidth="1"/>
    <col min="12542" max="12542" width="7.875" style="1125" customWidth="1"/>
    <col min="12543" max="12554" width="4" style="1125" customWidth="1"/>
    <col min="12555" max="12555" width="12.75" style="1125" customWidth="1"/>
    <col min="12556" max="12790" width="9" style="1125"/>
    <col min="12791" max="12791" width="16.75" style="1125" customWidth="1"/>
    <col min="12792" max="12792" width="12.75" style="1125" customWidth="1"/>
    <col min="12793" max="12793" width="11.75" style="1125" customWidth="1"/>
    <col min="12794" max="12794" width="11.25" style="1125" customWidth="1"/>
    <col min="12795" max="12795" width="22.25" style="1125" customWidth="1"/>
    <col min="12796" max="12796" width="10.25" style="1125" customWidth="1"/>
    <col min="12797" max="12797" width="4.25" style="1125" customWidth="1"/>
    <col min="12798" max="12798" width="7.875" style="1125" customWidth="1"/>
    <col min="12799" max="12810" width="4" style="1125" customWidth="1"/>
    <col min="12811" max="12811" width="12.75" style="1125" customWidth="1"/>
    <col min="12812" max="13046" width="9" style="1125"/>
    <col min="13047" max="13047" width="16.75" style="1125" customWidth="1"/>
    <col min="13048" max="13048" width="12.75" style="1125" customWidth="1"/>
    <col min="13049" max="13049" width="11.75" style="1125" customWidth="1"/>
    <col min="13050" max="13050" width="11.25" style="1125" customWidth="1"/>
    <col min="13051" max="13051" width="22.25" style="1125" customWidth="1"/>
    <col min="13052" max="13052" width="10.25" style="1125" customWidth="1"/>
    <col min="13053" max="13053" width="4.25" style="1125" customWidth="1"/>
    <col min="13054" max="13054" width="7.875" style="1125" customWidth="1"/>
    <col min="13055" max="13066" width="4" style="1125" customWidth="1"/>
    <col min="13067" max="13067" width="12.75" style="1125" customWidth="1"/>
    <col min="13068" max="13302" width="9" style="1125"/>
    <col min="13303" max="13303" width="16.75" style="1125" customWidth="1"/>
    <col min="13304" max="13304" width="12.75" style="1125" customWidth="1"/>
    <col min="13305" max="13305" width="11.75" style="1125" customWidth="1"/>
    <col min="13306" max="13306" width="11.25" style="1125" customWidth="1"/>
    <col min="13307" max="13307" width="22.25" style="1125" customWidth="1"/>
    <col min="13308" max="13308" width="10.25" style="1125" customWidth="1"/>
    <col min="13309" max="13309" width="4.25" style="1125" customWidth="1"/>
    <col min="13310" max="13310" width="7.875" style="1125" customWidth="1"/>
    <col min="13311" max="13322" width="4" style="1125" customWidth="1"/>
    <col min="13323" max="13323" width="12.75" style="1125" customWidth="1"/>
    <col min="13324" max="13558" width="9" style="1125"/>
    <col min="13559" max="13559" width="16.75" style="1125" customWidth="1"/>
    <col min="13560" max="13560" width="12.75" style="1125" customWidth="1"/>
    <col min="13561" max="13561" width="11.75" style="1125" customWidth="1"/>
    <col min="13562" max="13562" width="11.25" style="1125" customWidth="1"/>
    <col min="13563" max="13563" width="22.25" style="1125" customWidth="1"/>
    <col min="13564" max="13564" width="10.25" style="1125" customWidth="1"/>
    <col min="13565" max="13565" width="4.25" style="1125" customWidth="1"/>
    <col min="13566" max="13566" width="7.875" style="1125" customWidth="1"/>
    <col min="13567" max="13578" width="4" style="1125" customWidth="1"/>
    <col min="13579" max="13579" width="12.75" style="1125" customWidth="1"/>
    <col min="13580" max="13814" width="9" style="1125"/>
    <col min="13815" max="13815" width="16.75" style="1125" customWidth="1"/>
    <col min="13816" max="13816" width="12.75" style="1125" customWidth="1"/>
    <col min="13817" max="13817" width="11.75" style="1125" customWidth="1"/>
    <col min="13818" max="13818" width="11.25" style="1125" customWidth="1"/>
    <col min="13819" max="13819" width="22.25" style="1125" customWidth="1"/>
    <col min="13820" max="13820" width="10.25" style="1125" customWidth="1"/>
    <col min="13821" max="13821" width="4.25" style="1125" customWidth="1"/>
    <col min="13822" max="13822" width="7.875" style="1125" customWidth="1"/>
    <col min="13823" max="13834" width="4" style="1125" customWidth="1"/>
    <col min="13835" max="13835" width="12.75" style="1125" customWidth="1"/>
    <col min="13836" max="14070" width="9" style="1125"/>
    <col min="14071" max="14071" width="16.75" style="1125" customWidth="1"/>
    <col min="14072" max="14072" width="12.75" style="1125" customWidth="1"/>
    <col min="14073" max="14073" width="11.75" style="1125" customWidth="1"/>
    <col min="14074" max="14074" width="11.25" style="1125" customWidth="1"/>
    <col min="14075" max="14075" width="22.25" style="1125" customWidth="1"/>
    <col min="14076" max="14076" width="10.25" style="1125" customWidth="1"/>
    <col min="14077" max="14077" width="4.25" style="1125" customWidth="1"/>
    <col min="14078" max="14078" width="7.875" style="1125" customWidth="1"/>
    <col min="14079" max="14090" width="4" style="1125" customWidth="1"/>
    <col min="14091" max="14091" width="12.75" style="1125" customWidth="1"/>
    <col min="14092" max="14326" width="9" style="1125"/>
    <col min="14327" max="14327" width="16.75" style="1125" customWidth="1"/>
    <col min="14328" max="14328" width="12.75" style="1125" customWidth="1"/>
    <col min="14329" max="14329" width="11.75" style="1125" customWidth="1"/>
    <col min="14330" max="14330" width="11.25" style="1125" customWidth="1"/>
    <col min="14331" max="14331" width="22.25" style="1125" customWidth="1"/>
    <col min="14332" max="14332" width="10.25" style="1125" customWidth="1"/>
    <col min="14333" max="14333" width="4.25" style="1125" customWidth="1"/>
    <col min="14334" max="14334" width="7.875" style="1125" customWidth="1"/>
    <col min="14335" max="14346" width="4" style="1125" customWidth="1"/>
    <col min="14347" max="14347" width="12.75" style="1125" customWidth="1"/>
    <col min="14348" max="14582" width="9" style="1125"/>
    <col min="14583" max="14583" width="16.75" style="1125" customWidth="1"/>
    <col min="14584" max="14584" width="12.75" style="1125" customWidth="1"/>
    <col min="14585" max="14585" width="11.75" style="1125" customWidth="1"/>
    <col min="14586" max="14586" width="11.25" style="1125" customWidth="1"/>
    <col min="14587" max="14587" width="22.25" style="1125" customWidth="1"/>
    <col min="14588" max="14588" width="10.25" style="1125" customWidth="1"/>
    <col min="14589" max="14589" width="4.25" style="1125" customWidth="1"/>
    <col min="14590" max="14590" width="7.875" style="1125" customWidth="1"/>
    <col min="14591" max="14602" width="4" style="1125" customWidth="1"/>
    <col min="14603" max="14603" width="12.75" style="1125" customWidth="1"/>
    <col min="14604" max="14838" width="9" style="1125"/>
    <col min="14839" max="14839" width="16.75" style="1125" customWidth="1"/>
    <col min="14840" max="14840" width="12.75" style="1125" customWidth="1"/>
    <col min="14841" max="14841" width="11.75" style="1125" customWidth="1"/>
    <col min="14842" max="14842" width="11.25" style="1125" customWidth="1"/>
    <col min="14843" max="14843" width="22.25" style="1125" customWidth="1"/>
    <col min="14844" max="14844" width="10.25" style="1125" customWidth="1"/>
    <col min="14845" max="14845" width="4.25" style="1125" customWidth="1"/>
    <col min="14846" max="14846" width="7.875" style="1125" customWidth="1"/>
    <col min="14847" max="14858" width="4" style="1125" customWidth="1"/>
    <col min="14859" max="14859" width="12.75" style="1125" customWidth="1"/>
    <col min="14860" max="15094" width="9" style="1125"/>
    <col min="15095" max="15095" width="16.75" style="1125" customWidth="1"/>
    <col min="15096" max="15096" width="12.75" style="1125" customWidth="1"/>
    <col min="15097" max="15097" width="11.75" style="1125" customWidth="1"/>
    <col min="15098" max="15098" width="11.25" style="1125" customWidth="1"/>
    <col min="15099" max="15099" width="22.25" style="1125" customWidth="1"/>
    <col min="15100" max="15100" width="10.25" style="1125" customWidth="1"/>
    <col min="15101" max="15101" width="4.25" style="1125" customWidth="1"/>
    <col min="15102" max="15102" width="7.875" style="1125" customWidth="1"/>
    <col min="15103" max="15114" width="4" style="1125" customWidth="1"/>
    <col min="15115" max="15115" width="12.75" style="1125" customWidth="1"/>
    <col min="15116" max="15350" width="9" style="1125"/>
    <col min="15351" max="15351" width="16.75" style="1125" customWidth="1"/>
    <col min="15352" max="15352" width="12.75" style="1125" customWidth="1"/>
    <col min="15353" max="15353" width="11.75" style="1125" customWidth="1"/>
    <col min="15354" max="15354" width="11.25" style="1125" customWidth="1"/>
    <col min="15355" max="15355" width="22.25" style="1125" customWidth="1"/>
    <col min="15356" max="15356" width="10.25" style="1125" customWidth="1"/>
    <col min="15357" max="15357" width="4.25" style="1125" customWidth="1"/>
    <col min="15358" max="15358" width="7.875" style="1125" customWidth="1"/>
    <col min="15359" max="15370" width="4" style="1125" customWidth="1"/>
    <col min="15371" max="15371" width="12.75" style="1125" customWidth="1"/>
    <col min="15372" max="15606" width="9" style="1125"/>
    <col min="15607" max="15607" width="16.75" style="1125" customWidth="1"/>
    <col min="15608" max="15608" width="12.75" style="1125" customWidth="1"/>
    <col min="15609" max="15609" width="11.75" style="1125" customWidth="1"/>
    <col min="15610" max="15610" width="11.25" style="1125" customWidth="1"/>
    <col min="15611" max="15611" width="22.25" style="1125" customWidth="1"/>
    <col min="15612" max="15612" width="10.25" style="1125" customWidth="1"/>
    <col min="15613" max="15613" width="4.25" style="1125" customWidth="1"/>
    <col min="15614" max="15614" width="7.875" style="1125" customWidth="1"/>
    <col min="15615" max="15626" width="4" style="1125" customWidth="1"/>
    <col min="15627" max="15627" width="12.75" style="1125" customWidth="1"/>
    <col min="15628" max="15862" width="9" style="1125"/>
    <col min="15863" max="15863" width="16.75" style="1125" customWidth="1"/>
    <col min="15864" max="15864" width="12.75" style="1125" customWidth="1"/>
    <col min="15865" max="15865" width="11.75" style="1125" customWidth="1"/>
    <col min="15866" max="15866" width="11.25" style="1125" customWidth="1"/>
    <col min="15867" max="15867" width="22.25" style="1125" customWidth="1"/>
    <col min="15868" max="15868" width="10.25" style="1125" customWidth="1"/>
    <col min="15869" max="15869" width="4.25" style="1125" customWidth="1"/>
    <col min="15870" max="15870" width="7.875" style="1125" customWidth="1"/>
    <col min="15871" max="15882" width="4" style="1125" customWidth="1"/>
    <col min="15883" max="15883" width="12.75" style="1125" customWidth="1"/>
    <col min="15884" max="16118" width="9" style="1125"/>
    <col min="16119" max="16119" width="16.75" style="1125" customWidth="1"/>
    <col min="16120" max="16120" width="12.75" style="1125" customWidth="1"/>
    <col min="16121" max="16121" width="11.75" style="1125" customWidth="1"/>
    <col min="16122" max="16122" width="11.25" style="1125" customWidth="1"/>
    <col min="16123" max="16123" width="22.25" style="1125" customWidth="1"/>
    <col min="16124" max="16124" width="10.25" style="1125" customWidth="1"/>
    <col min="16125" max="16125" width="4.25" style="1125" customWidth="1"/>
    <col min="16126" max="16126" width="7.875" style="1125" customWidth="1"/>
    <col min="16127" max="16138" width="4" style="1125" customWidth="1"/>
    <col min="16139" max="16139" width="12.75" style="1125" customWidth="1"/>
    <col min="16140" max="16374" width="9" style="1125"/>
    <col min="16375" max="16384" width="9" style="1125" customWidth="1"/>
  </cols>
  <sheetData>
    <row r="1" spans="1:21">
      <c r="A1" s="2118" t="s">
        <v>1553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  <c r="M1" s="2118"/>
      <c r="N1" s="2118"/>
      <c r="O1" s="2118"/>
      <c r="P1" s="2118"/>
      <c r="Q1" s="2118"/>
      <c r="R1" s="2118"/>
      <c r="S1" s="2118"/>
      <c r="T1" s="2118"/>
      <c r="U1" s="2118"/>
    </row>
    <row r="2" spans="1:21" s="1124" customFormat="1" ht="18" customHeight="1">
      <c r="A2" s="2119" t="s">
        <v>1557</v>
      </c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  <c r="T2" s="2119"/>
      <c r="U2" s="2119"/>
    </row>
    <row r="3" spans="1:21" s="1145" customFormat="1">
      <c r="A3" s="2246" t="s">
        <v>1558</v>
      </c>
      <c r="B3" s="2246"/>
      <c r="C3" s="2246"/>
      <c r="D3" s="2246"/>
      <c r="E3" s="2246"/>
      <c r="F3" s="2246"/>
      <c r="G3" s="2246"/>
      <c r="H3" s="2246"/>
      <c r="I3" s="2246"/>
      <c r="J3" s="2246"/>
      <c r="K3" s="2246"/>
      <c r="L3" s="2246"/>
      <c r="M3" s="2246"/>
      <c r="N3" s="2246"/>
      <c r="O3" s="2246"/>
      <c r="P3" s="2246"/>
      <c r="Q3" s="2246"/>
      <c r="R3" s="2246"/>
      <c r="S3" s="2246"/>
      <c r="T3" s="2246"/>
      <c r="U3" s="2246"/>
    </row>
    <row r="4" spans="1:21" s="1145" customFormat="1">
      <c r="A4" s="2246" t="s">
        <v>1777</v>
      </c>
      <c r="B4" s="2246"/>
      <c r="C4" s="2246"/>
      <c r="D4" s="2246"/>
      <c r="E4" s="2246"/>
      <c r="F4" s="2246"/>
      <c r="G4" s="2246"/>
      <c r="H4" s="2246"/>
      <c r="I4" s="2246"/>
      <c r="J4" s="2246"/>
      <c r="K4" s="2246"/>
      <c r="L4" s="2246"/>
      <c r="M4" s="2246"/>
      <c r="N4" s="2246"/>
      <c r="O4" s="2246"/>
      <c r="P4" s="2246"/>
      <c r="Q4" s="2246"/>
      <c r="R4" s="2246"/>
      <c r="S4" s="2246"/>
      <c r="T4" s="2246"/>
      <c r="U4" s="2246"/>
    </row>
    <row r="5" spans="1:21" s="1131" customFormat="1" ht="15.75" customHeight="1">
      <c r="A5" s="2217" t="s">
        <v>44</v>
      </c>
      <c r="B5" s="2217" t="s">
        <v>45</v>
      </c>
      <c r="C5" s="2217" t="s">
        <v>46</v>
      </c>
      <c r="D5" s="2217" t="s">
        <v>47</v>
      </c>
      <c r="E5" s="2255" t="s">
        <v>48</v>
      </c>
      <c r="F5" s="2256"/>
      <c r="G5" s="2257"/>
      <c r="H5" s="2217" t="s">
        <v>1533</v>
      </c>
      <c r="I5" s="2258" t="s">
        <v>50</v>
      </c>
      <c r="J5" s="2259"/>
      <c r="K5" s="2259"/>
      <c r="L5" s="2259"/>
      <c r="M5" s="2259"/>
      <c r="N5" s="2259"/>
      <c r="O5" s="2259"/>
      <c r="P5" s="2259"/>
      <c r="Q5" s="2259"/>
      <c r="R5" s="2259"/>
      <c r="S5" s="2259"/>
      <c r="T5" s="2260"/>
      <c r="U5" s="2217" t="s">
        <v>51</v>
      </c>
    </row>
    <row r="6" spans="1:21" s="1131" customFormat="1" ht="37.5">
      <c r="A6" s="2218"/>
      <c r="B6" s="2218"/>
      <c r="C6" s="2218"/>
      <c r="D6" s="2218"/>
      <c r="E6" s="1146" t="s">
        <v>52</v>
      </c>
      <c r="F6" s="1132" t="s">
        <v>1534</v>
      </c>
      <c r="G6" s="1146" t="s">
        <v>54</v>
      </c>
      <c r="H6" s="2218"/>
      <c r="I6" s="1147" t="s">
        <v>55</v>
      </c>
      <c r="J6" s="1147" t="s">
        <v>56</v>
      </c>
      <c r="K6" s="1147" t="s">
        <v>57</v>
      </c>
      <c r="L6" s="1147" t="s">
        <v>58</v>
      </c>
      <c r="M6" s="1147" t="s">
        <v>59</v>
      </c>
      <c r="N6" s="1147" t="s">
        <v>60</v>
      </c>
      <c r="O6" s="1147" t="s">
        <v>61</v>
      </c>
      <c r="P6" s="1147" t="s">
        <v>62</v>
      </c>
      <c r="Q6" s="1147" t="s">
        <v>63</v>
      </c>
      <c r="R6" s="1147" t="s">
        <v>64</v>
      </c>
      <c r="S6" s="1147" t="s">
        <v>65</v>
      </c>
      <c r="T6" s="1147" t="s">
        <v>66</v>
      </c>
      <c r="U6" s="2218"/>
    </row>
    <row r="7" spans="1:21" s="1128" customFormat="1" ht="276.75" customHeight="1">
      <c r="A7" s="1158" t="s">
        <v>1554</v>
      </c>
      <c r="B7" s="1149" t="s">
        <v>1547</v>
      </c>
      <c r="C7" s="1149" t="s">
        <v>1536</v>
      </c>
      <c r="D7" s="1149" t="s">
        <v>1550</v>
      </c>
      <c r="E7" s="1126" t="s">
        <v>1551</v>
      </c>
      <c r="F7" s="1151">
        <f>750*7</f>
        <v>5250</v>
      </c>
      <c r="G7" s="1157" t="s">
        <v>1548</v>
      </c>
      <c r="H7" s="1151" t="s">
        <v>1552</v>
      </c>
      <c r="I7" s="1150"/>
      <c r="J7" s="1127">
        <v>750</v>
      </c>
      <c r="K7" s="1127">
        <v>750</v>
      </c>
      <c r="L7" s="1127"/>
      <c r="M7" s="1127">
        <v>750</v>
      </c>
      <c r="N7" s="1127">
        <v>750</v>
      </c>
      <c r="O7" s="1127"/>
      <c r="P7" s="1127">
        <v>750</v>
      </c>
      <c r="Q7" s="1127">
        <v>1500</v>
      </c>
      <c r="R7" s="1150"/>
      <c r="S7" s="1127"/>
      <c r="T7" s="1152"/>
      <c r="U7" s="1148" t="s">
        <v>1549</v>
      </c>
    </row>
    <row r="8" spans="1:21" s="1128" customFormat="1" ht="22.5">
      <c r="A8" s="2252"/>
      <c r="B8" s="2253"/>
      <c r="C8" s="2253"/>
      <c r="D8" s="2254"/>
      <c r="E8" s="1156" t="s">
        <v>139</v>
      </c>
      <c r="F8" s="1155">
        <v>5250</v>
      </c>
      <c r="G8" s="1153"/>
      <c r="H8" s="1153"/>
      <c r="I8" s="1154"/>
      <c r="J8" s="1154"/>
      <c r="K8" s="1154"/>
      <c r="L8" s="1154"/>
      <c r="M8" s="1154"/>
      <c r="N8" s="1154"/>
      <c r="O8" s="1154"/>
      <c r="P8" s="1154"/>
      <c r="Q8" s="1154"/>
      <c r="R8" s="1154"/>
      <c r="S8" s="1154"/>
      <c r="T8" s="1154"/>
      <c r="U8" s="1129"/>
    </row>
  </sheetData>
  <mergeCells count="13">
    <mergeCell ref="A8:D8"/>
    <mergeCell ref="A1:U1"/>
    <mergeCell ref="A2:U2"/>
    <mergeCell ref="A3:U3"/>
    <mergeCell ref="A4:U4"/>
    <mergeCell ref="A5:A6"/>
    <mergeCell ref="B5:B6"/>
    <mergeCell ref="C5:C6"/>
    <mergeCell ref="D5:D6"/>
    <mergeCell ref="E5:G5"/>
    <mergeCell ref="H5:H6"/>
    <mergeCell ref="I5:T5"/>
    <mergeCell ref="U5:U6"/>
  </mergeCells>
  <pageMargins left="0.31496062992125984" right="0.31496062992125984" top="0.98425196850393704" bottom="0.31496062992125984" header="0.19685039370078741" footer="0.19685039370078741"/>
  <pageSetup paperSize="9" firstPageNumber="126" orientation="landscape" useFirstPageNumber="1" r:id="rId1"/>
  <headerFooter>
    <oddFooter>&amp;R&amp;"+,ธรรมดา"&amp;8&amp;P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4" zoomScaleSheetLayoutView="110" workbookViewId="0">
      <pane xSplit="4" ySplit="3" topLeftCell="H35" activePane="bottomRight" state="frozen"/>
      <selection activeCell="H2" sqref="H1:U65536"/>
      <selection pane="topRight" activeCell="H2" sqref="H1:U65536"/>
      <selection pane="bottomLeft" activeCell="H2" sqref="H1:U65536"/>
      <selection pane="bottomRight" activeCell="H2" sqref="H1:U65536"/>
    </sheetView>
  </sheetViews>
  <sheetFormatPr defaultColWidth="9" defaultRowHeight="18"/>
  <cols>
    <col min="1" max="5" width="22.75" style="74" customWidth="1"/>
    <col min="6" max="6" width="8.125" style="74" customWidth="1"/>
    <col min="7" max="7" width="10.125" style="74" customWidth="1"/>
    <col min="8" max="8" width="10.375" style="74" customWidth="1"/>
    <col min="9" max="20" width="4" style="74" customWidth="1"/>
    <col min="21" max="21" width="5.75" style="74" customWidth="1"/>
    <col min="22" max="16384" width="9" style="74"/>
  </cols>
  <sheetData>
    <row r="1" spans="1:21" s="275" customFormat="1" ht="24">
      <c r="A1" s="1434" t="s">
        <v>41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</row>
    <row r="2" spans="1:21" s="275" customFormat="1" ht="24">
      <c r="A2" s="1435" t="s">
        <v>42</v>
      </c>
      <c r="B2" s="1435"/>
      <c r="C2" s="1435"/>
      <c r="D2" s="1435"/>
      <c r="E2" s="236"/>
    </row>
    <row r="3" spans="1:21" s="275" customFormat="1" ht="24">
      <c r="A3" s="1435" t="s">
        <v>43</v>
      </c>
      <c r="B3" s="1435"/>
      <c r="C3" s="1435"/>
      <c r="D3" s="1435"/>
      <c r="E3" s="236"/>
    </row>
    <row r="4" spans="1:21" ht="21.75">
      <c r="A4" s="1436" t="s">
        <v>44</v>
      </c>
      <c r="B4" s="1436" t="s">
        <v>45</v>
      </c>
      <c r="C4" s="1436" t="s">
        <v>46</v>
      </c>
      <c r="D4" s="1436" t="s">
        <v>47</v>
      </c>
      <c r="E4" s="1436" t="s">
        <v>48</v>
      </c>
      <c r="F4" s="1436"/>
      <c r="G4" s="1436"/>
      <c r="H4" s="1436" t="s">
        <v>49</v>
      </c>
      <c r="I4" s="1436" t="s">
        <v>50</v>
      </c>
      <c r="J4" s="1436"/>
      <c r="K4" s="1436"/>
      <c r="L4" s="1436"/>
      <c r="M4" s="1436"/>
      <c r="N4" s="1436"/>
      <c r="O4" s="1436"/>
      <c r="P4" s="1436"/>
      <c r="Q4" s="1436"/>
      <c r="R4" s="1436"/>
      <c r="S4" s="1436"/>
      <c r="T4" s="1436"/>
      <c r="U4" s="1436" t="s">
        <v>51</v>
      </c>
    </row>
    <row r="5" spans="1:21">
      <c r="A5" s="1436"/>
      <c r="B5" s="1436"/>
      <c r="C5" s="1436"/>
      <c r="D5" s="1436"/>
      <c r="E5" s="1436" t="s">
        <v>52</v>
      </c>
      <c r="F5" s="1436" t="s">
        <v>53</v>
      </c>
      <c r="G5" s="1436" t="s">
        <v>54</v>
      </c>
      <c r="H5" s="1436"/>
      <c r="I5" s="1436" t="s">
        <v>55</v>
      </c>
      <c r="J5" s="1436" t="s">
        <v>56</v>
      </c>
      <c r="K5" s="1436" t="s">
        <v>57</v>
      </c>
      <c r="L5" s="1436" t="s">
        <v>58</v>
      </c>
      <c r="M5" s="1436" t="s">
        <v>59</v>
      </c>
      <c r="N5" s="1436" t="s">
        <v>60</v>
      </c>
      <c r="O5" s="1436" t="s">
        <v>61</v>
      </c>
      <c r="P5" s="1436" t="s">
        <v>62</v>
      </c>
      <c r="Q5" s="1436" t="s">
        <v>63</v>
      </c>
      <c r="R5" s="1436" t="s">
        <v>64</v>
      </c>
      <c r="S5" s="1436" t="s">
        <v>65</v>
      </c>
      <c r="T5" s="1436" t="s">
        <v>66</v>
      </c>
      <c r="U5" s="1436"/>
    </row>
    <row r="6" spans="1:21">
      <c r="A6" s="1436"/>
      <c r="B6" s="1436"/>
      <c r="C6" s="1436"/>
      <c r="D6" s="1436"/>
      <c r="E6" s="1436"/>
      <c r="F6" s="1436"/>
      <c r="G6" s="1436"/>
      <c r="H6" s="1436"/>
      <c r="I6" s="1436"/>
      <c r="J6" s="1436"/>
      <c r="K6" s="1436"/>
      <c r="L6" s="1436"/>
      <c r="M6" s="1436"/>
      <c r="N6" s="1436"/>
      <c r="O6" s="1436"/>
      <c r="P6" s="1436"/>
      <c r="Q6" s="1436"/>
      <c r="R6" s="1436"/>
      <c r="S6" s="1436"/>
      <c r="T6" s="1436"/>
      <c r="U6" s="1436"/>
    </row>
    <row r="7" spans="1:21" s="29" customFormat="1" ht="112.5">
      <c r="A7" s="238" t="s">
        <v>67</v>
      </c>
      <c r="B7" s="240" t="s">
        <v>68</v>
      </c>
      <c r="C7" s="241" t="s">
        <v>69</v>
      </c>
      <c r="D7" s="240" t="s">
        <v>70</v>
      </c>
      <c r="E7" s="347"/>
      <c r="F7" s="347"/>
      <c r="G7" s="314"/>
      <c r="H7" s="310" t="s">
        <v>71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332" t="s">
        <v>72</v>
      </c>
    </row>
    <row r="8" spans="1:21" s="29" customFormat="1" ht="75">
      <c r="A8" s="1452" t="s">
        <v>73</v>
      </c>
      <c r="B8" s="1455" t="s">
        <v>68</v>
      </c>
      <c r="C8" s="1455" t="s">
        <v>74</v>
      </c>
      <c r="D8" s="1455" t="s">
        <v>75</v>
      </c>
      <c r="E8" s="202" t="s">
        <v>76</v>
      </c>
      <c r="F8" s="203">
        <f>70*20*3</f>
        <v>4200</v>
      </c>
      <c r="G8" s="314" t="s">
        <v>77</v>
      </c>
      <c r="H8" s="310" t="s">
        <v>1420</v>
      </c>
      <c r="I8" s="289"/>
      <c r="J8" s="289"/>
      <c r="K8" s="315">
        <v>1400</v>
      </c>
      <c r="L8" s="315"/>
      <c r="M8" s="315"/>
      <c r="N8" s="315"/>
      <c r="O8" s="315">
        <v>1400</v>
      </c>
      <c r="P8" s="315"/>
      <c r="Q8" s="315"/>
      <c r="R8" s="315"/>
      <c r="S8" s="315">
        <v>1400</v>
      </c>
      <c r="T8" s="289"/>
      <c r="U8" s="332" t="s">
        <v>72</v>
      </c>
    </row>
    <row r="9" spans="1:21" s="29" customFormat="1" ht="18.75">
      <c r="A9" s="1453"/>
      <c r="B9" s="1456"/>
      <c r="C9" s="1456"/>
      <c r="D9" s="1456"/>
      <c r="E9" s="279" t="s">
        <v>4</v>
      </c>
      <c r="F9" s="280">
        <f>SUM(F8:F8)</f>
        <v>4200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18.75">
      <c r="A10" s="1454"/>
      <c r="B10" s="1457"/>
      <c r="C10" s="1457"/>
      <c r="D10" s="1457"/>
      <c r="E10" s="348"/>
      <c r="F10" s="321"/>
      <c r="G10" s="284"/>
      <c r="H10" s="284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</row>
    <row r="11" spans="1:21" s="29" customFormat="1" ht="93.75">
      <c r="A11" s="240" t="s">
        <v>78</v>
      </c>
      <c r="B11" s="240" t="s">
        <v>79</v>
      </c>
      <c r="C11" s="240" t="s">
        <v>80</v>
      </c>
      <c r="D11" s="240" t="s">
        <v>81</v>
      </c>
      <c r="E11" s="202"/>
      <c r="F11" s="203"/>
      <c r="G11" s="308"/>
      <c r="H11" s="304" t="s">
        <v>82</v>
      </c>
      <c r="I11" s="68"/>
      <c r="J11" s="68"/>
      <c r="K11" s="305"/>
      <c r="L11" s="68"/>
      <c r="M11" s="68"/>
      <c r="N11" s="68"/>
      <c r="O11" s="68"/>
      <c r="P11" s="68"/>
      <c r="Q11" s="68"/>
      <c r="R11" s="305"/>
      <c r="S11" s="68"/>
      <c r="T11" s="68"/>
      <c r="U11" s="309" t="s">
        <v>83</v>
      </c>
    </row>
    <row r="12" spans="1:21" s="29" customFormat="1" ht="18.75">
      <c r="A12" s="238" t="s">
        <v>84</v>
      </c>
      <c r="B12" s="238"/>
      <c r="C12" s="238"/>
      <c r="D12" s="238"/>
      <c r="E12" s="202"/>
      <c r="F12" s="341"/>
      <c r="G12" s="314"/>
      <c r="H12" s="310"/>
      <c r="I12" s="285"/>
      <c r="J12" s="285"/>
      <c r="K12" s="289"/>
      <c r="L12" s="285"/>
      <c r="M12" s="285"/>
      <c r="N12" s="285"/>
      <c r="O12" s="285"/>
      <c r="P12" s="285"/>
      <c r="Q12" s="285"/>
      <c r="R12" s="289"/>
      <c r="S12" s="285"/>
      <c r="T12" s="285"/>
      <c r="U12" s="332"/>
    </row>
    <row r="13" spans="1:21" ht="37.5">
      <c r="A13" s="1455" t="s">
        <v>85</v>
      </c>
      <c r="B13" s="1455" t="s">
        <v>86</v>
      </c>
      <c r="C13" s="1455" t="s">
        <v>87</v>
      </c>
      <c r="D13" s="1455" t="s">
        <v>88</v>
      </c>
      <c r="E13" s="202" t="s">
        <v>89</v>
      </c>
      <c r="F13" s="349">
        <v>2240</v>
      </c>
      <c r="G13" s="1441" t="s">
        <v>77</v>
      </c>
      <c r="H13" s="1449" t="s">
        <v>90</v>
      </c>
      <c r="I13" s="1446"/>
      <c r="J13" s="1446"/>
      <c r="K13" s="1446"/>
      <c r="L13" s="1446"/>
      <c r="M13" s="1446"/>
      <c r="N13" s="1446"/>
      <c r="O13" s="1446"/>
      <c r="P13" s="1446">
        <v>1680</v>
      </c>
      <c r="Q13" s="1446"/>
      <c r="R13" s="1446"/>
      <c r="S13" s="1446">
        <v>1680</v>
      </c>
      <c r="T13" s="1446"/>
      <c r="U13" s="1461" t="s">
        <v>91</v>
      </c>
    </row>
    <row r="14" spans="1:21" ht="37.5">
      <c r="A14" s="1456"/>
      <c r="B14" s="1456"/>
      <c r="C14" s="1456"/>
      <c r="D14" s="1456"/>
      <c r="E14" s="202" t="s">
        <v>92</v>
      </c>
      <c r="F14" s="350">
        <v>1120</v>
      </c>
      <c r="G14" s="1442"/>
      <c r="H14" s="1450"/>
      <c r="I14" s="1447"/>
      <c r="J14" s="1447"/>
      <c r="K14" s="1447"/>
      <c r="L14" s="1447"/>
      <c r="M14" s="1447"/>
      <c r="N14" s="1447"/>
      <c r="O14" s="1447"/>
      <c r="P14" s="1447"/>
      <c r="Q14" s="1447"/>
      <c r="R14" s="1447"/>
      <c r="S14" s="1447"/>
      <c r="T14" s="1447"/>
      <c r="U14" s="1462"/>
    </row>
    <row r="15" spans="1:21" ht="18.75">
      <c r="A15" s="1457"/>
      <c r="B15" s="1457"/>
      <c r="C15" s="1457"/>
      <c r="D15" s="1457"/>
      <c r="E15" s="279" t="s">
        <v>4</v>
      </c>
      <c r="F15" s="280">
        <f>SUM(F11:F14)</f>
        <v>3360</v>
      </c>
      <c r="G15" s="311"/>
      <c r="H15" s="1451"/>
      <c r="I15" s="1448"/>
      <c r="J15" s="1448"/>
      <c r="K15" s="1448"/>
      <c r="L15" s="1448"/>
      <c r="M15" s="1448"/>
      <c r="N15" s="1448"/>
      <c r="O15" s="1448"/>
      <c r="P15" s="1448"/>
      <c r="Q15" s="1448"/>
      <c r="R15" s="1448"/>
      <c r="S15" s="1448"/>
      <c r="T15" s="1448"/>
      <c r="U15" s="1463"/>
    </row>
    <row r="16" spans="1:21" s="29" customFormat="1" ht="37.5">
      <c r="A16" s="1437" t="s">
        <v>93</v>
      </c>
      <c r="B16" s="1440" t="s">
        <v>94</v>
      </c>
      <c r="C16" s="1437" t="s">
        <v>95</v>
      </c>
      <c r="D16" s="1440" t="s">
        <v>88</v>
      </c>
      <c r="E16" s="202" t="s">
        <v>96</v>
      </c>
      <c r="F16" s="203">
        <v>15120</v>
      </c>
      <c r="G16" s="1441" t="s">
        <v>77</v>
      </c>
      <c r="H16" s="1443" t="s">
        <v>97</v>
      </c>
      <c r="I16" s="1446"/>
      <c r="J16" s="1446"/>
      <c r="K16" s="1446"/>
      <c r="L16" s="1446"/>
      <c r="M16" s="1446"/>
      <c r="N16" s="1446"/>
      <c r="O16" s="1446"/>
      <c r="P16" s="1446"/>
      <c r="Q16" s="1446">
        <v>16080</v>
      </c>
      <c r="R16" s="1446">
        <v>8040</v>
      </c>
      <c r="S16" s="1446"/>
      <c r="T16" s="1446"/>
      <c r="U16" s="1458" t="s">
        <v>91</v>
      </c>
    </row>
    <row r="17" spans="1:21" s="29" customFormat="1" ht="18.75">
      <c r="A17" s="1438"/>
      <c r="B17" s="1440"/>
      <c r="C17" s="1438"/>
      <c r="D17" s="1440"/>
      <c r="E17" s="210" t="s">
        <v>98</v>
      </c>
      <c r="F17" s="203">
        <v>9000</v>
      </c>
      <c r="G17" s="1442"/>
      <c r="H17" s="1444"/>
      <c r="I17" s="1447"/>
      <c r="J17" s="1447"/>
      <c r="K17" s="1447"/>
      <c r="L17" s="1447"/>
      <c r="M17" s="1447"/>
      <c r="N17" s="1447"/>
      <c r="O17" s="1447"/>
      <c r="P17" s="1447"/>
      <c r="Q17" s="1447"/>
      <c r="R17" s="1447"/>
      <c r="S17" s="1447"/>
      <c r="T17" s="1447"/>
      <c r="U17" s="1459"/>
    </row>
    <row r="18" spans="1:21" s="29" customFormat="1" ht="18.75">
      <c r="A18" s="1439"/>
      <c r="B18" s="1440"/>
      <c r="C18" s="1439"/>
      <c r="D18" s="1440"/>
      <c r="E18" s="279" t="s">
        <v>4</v>
      </c>
      <c r="F18" s="280">
        <f>SUM(F16:F17)</f>
        <v>24120</v>
      </c>
      <c r="G18" s="281"/>
      <c r="H18" s="1445"/>
      <c r="I18" s="1448"/>
      <c r="J18" s="1448"/>
      <c r="K18" s="1448"/>
      <c r="L18" s="1448"/>
      <c r="M18" s="1448"/>
      <c r="N18" s="1448"/>
      <c r="O18" s="1448"/>
      <c r="P18" s="1448"/>
      <c r="Q18" s="1448"/>
      <c r="R18" s="1448"/>
      <c r="S18" s="1448"/>
      <c r="T18" s="1448"/>
      <c r="U18" s="1460"/>
    </row>
    <row r="19" spans="1:21" s="29" customFormat="1" ht="37.5">
      <c r="A19" s="1452" t="s">
        <v>99</v>
      </c>
      <c r="B19" s="1455" t="s">
        <v>100</v>
      </c>
      <c r="C19" s="1455" t="s">
        <v>101</v>
      </c>
      <c r="D19" s="1440" t="s">
        <v>102</v>
      </c>
      <c r="E19" s="202" t="s">
        <v>103</v>
      </c>
      <c r="F19" s="203">
        <v>6000</v>
      </c>
      <c r="G19" s="1441" t="s">
        <v>77</v>
      </c>
      <c r="H19" s="1464" t="s">
        <v>104</v>
      </c>
      <c r="I19" s="1446"/>
      <c r="J19" s="1446"/>
      <c r="K19" s="1446"/>
      <c r="L19" s="1446">
        <v>2000</v>
      </c>
      <c r="M19" s="1446">
        <v>2000</v>
      </c>
      <c r="N19" s="1446">
        <v>2000</v>
      </c>
      <c r="O19" s="1446">
        <v>2000</v>
      </c>
      <c r="P19" s="1446">
        <v>2000</v>
      </c>
      <c r="Q19" s="1446"/>
      <c r="R19" s="1446"/>
      <c r="S19" s="1446"/>
      <c r="T19" s="1446"/>
      <c r="U19" s="1458" t="s">
        <v>91</v>
      </c>
    </row>
    <row r="20" spans="1:21" s="29" customFormat="1" ht="18.75">
      <c r="A20" s="1453"/>
      <c r="B20" s="1456"/>
      <c r="C20" s="1456"/>
      <c r="D20" s="1440"/>
      <c r="E20" s="210" t="s">
        <v>105</v>
      </c>
      <c r="F20" s="203">
        <v>4000</v>
      </c>
      <c r="G20" s="1442"/>
      <c r="H20" s="1465"/>
      <c r="I20" s="1447"/>
      <c r="J20" s="1447"/>
      <c r="K20" s="1447"/>
      <c r="L20" s="1447"/>
      <c r="M20" s="1447"/>
      <c r="N20" s="1447"/>
      <c r="O20" s="1447"/>
      <c r="P20" s="1447"/>
      <c r="Q20" s="1447"/>
      <c r="R20" s="1447"/>
      <c r="S20" s="1447"/>
      <c r="T20" s="1447"/>
      <c r="U20" s="1459"/>
    </row>
    <row r="21" spans="1:21" s="29" customFormat="1" ht="18.75">
      <c r="A21" s="1454"/>
      <c r="B21" s="1457"/>
      <c r="C21" s="1457"/>
      <c r="D21" s="1440"/>
      <c r="E21" s="279" t="s">
        <v>4</v>
      </c>
      <c r="F21" s="280">
        <f>SUM(F19:F20)</f>
        <v>10000</v>
      </c>
      <c r="G21" s="281"/>
      <c r="H21" s="1466"/>
      <c r="I21" s="1448"/>
      <c r="J21" s="1448"/>
      <c r="K21" s="1448"/>
      <c r="L21" s="1448"/>
      <c r="M21" s="1448"/>
      <c r="N21" s="1448"/>
      <c r="O21" s="1448"/>
      <c r="P21" s="1448"/>
      <c r="Q21" s="1448"/>
      <c r="R21" s="1448"/>
      <c r="S21" s="1448"/>
      <c r="T21" s="1448"/>
      <c r="U21" s="1460"/>
    </row>
    <row r="22" spans="1:21" s="29" customFormat="1" ht="18.75">
      <c r="A22" s="240" t="s">
        <v>106</v>
      </c>
      <c r="B22" s="240"/>
      <c r="C22" s="240"/>
      <c r="D22" s="240"/>
      <c r="E22" s="202"/>
      <c r="F22" s="203"/>
      <c r="G22" s="277"/>
      <c r="H22" s="288"/>
      <c r="I22" s="285"/>
      <c r="J22" s="285"/>
      <c r="K22" s="289"/>
      <c r="L22" s="285"/>
      <c r="M22" s="285"/>
      <c r="N22" s="285"/>
      <c r="O22" s="285"/>
      <c r="P22" s="285"/>
      <c r="Q22" s="285"/>
      <c r="R22" s="289"/>
      <c r="S22" s="285"/>
      <c r="T22" s="285"/>
      <c r="U22" s="1458" t="s">
        <v>91</v>
      </c>
    </row>
    <row r="23" spans="1:21" s="29" customFormat="1" ht="56.25">
      <c r="A23" s="240" t="s">
        <v>107</v>
      </c>
      <c r="B23" s="240" t="s">
        <v>108</v>
      </c>
      <c r="C23" s="319" t="s">
        <v>109</v>
      </c>
      <c r="D23" s="319" t="s">
        <v>110</v>
      </c>
      <c r="E23" s="320"/>
      <c r="F23" s="321"/>
      <c r="G23" s="277"/>
      <c r="H23" s="288"/>
      <c r="I23" s="285"/>
      <c r="J23" s="285"/>
      <c r="K23" s="289"/>
      <c r="L23" s="285"/>
      <c r="M23" s="285"/>
      <c r="N23" s="285"/>
      <c r="O23" s="285"/>
      <c r="P23" s="285"/>
      <c r="Q23" s="285"/>
      <c r="R23" s="289"/>
      <c r="S23" s="285"/>
      <c r="T23" s="285"/>
      <c r="U23" s="1460"/>
    </row>
    <row r="24" spans="1:21" s="29" customFormat="1" ht="18.75">
      <c r="A24" s="238" t="s">
        <v>111</v>
      </c>
      <c r="B24" s="240"/>
      <c r="C24" s="239"/>
      <c r="D24" s="239"/>
      <c r="E24" s="320"/>
      <c r="F24" s="203"/>
      <c r="G24" s="277"/>
      <c r="H24" s="288"/>
      <c r="I24" s="285"/>
      <c r="J24" s="285"/>
      <c r="K24" s="289"/>
      <c r="L24" s="285"/>
      <c r="M24" s="285"/>
      <c r="N24" s="285"/>
      <c r="O24" s="285"/>
      <c r="P24" s="285"/>
      <c r="Q24" s="285"/>
      <c r="R24" s="289"/>
      <c r="S24" s="285"/>
      <c r="T24" s="285"/>
      <c r="U24" s="332"/>
    </row>
    <row r="25" spans="1:21" s="29" customFormat="1" ht="75">
      <c r="A25" s="240" t="s">
        <v>112</v>
      </c>
      <c r="B25" s="240" t="s">
        <v>113</v>
      </c>
      <c r="C25" s="240" t="s">
        <v>114</v>
      </c>
      <c r="D25" s="240" t="s">
        <v>110</v>
      </c>
      <c r="E25" s="320"/>
      <c r="F25" s="203"/>
      <c r="G25" s="308"/>
      <c r="H25" s="304"/>
      <c r="I25" s="68"/>
      <c r="J25" s="68"/>
      <c r="K25" s="305"/>
      <c r="L25" s="68"/>
      <c r="M25" s="68"/>
      <c r="N25" s="68"/>
      <c r="O25" s="68"/>
      <c r="P25" s="68"/>
      <c r="Q25" s="68"/>
      <c r="R25" s="305"/>
      <c r="S25" s="68"/>
      <c r="T25" s="68"/>
      <c r="U25" s="309"/>
    </row>
    <row r="26" spans="1:21" s="29" customFormat="1" ht="75">
      <c r="A26" s="238" t="s">
        <v>115</v>
      </c>
      <c r="B26" s="240" t="s">
        <v>116</v>
      </c>
      <c r="C26" s="239" t="s">
        <v>117</v>
      </c>
      <c r="D26" s="239" t="s">
        <v>110</v>
      </c>
      <c r="E26" s="320"/>
      <c r="F26" s="203"/>
      <c r="G26" s="277"/>
      <c r="H26" s="288"/>
      <c r="I26" s="285"/>
      <c r="J26" s="285"/>
      <c r="K26" s="289"/>
      <c r="L26" s="285"/>
      <c r="M26" s="285"/>
      <c r="N26" s="285"/>
      <c r="O26" s="285"/>
      <c r="P26" s="285"/>
      <c r="Q26" s="285"/>
      <c r="R26" s="289"/>
      <c r="S26" s="285"/>
      <c r="T26" s="285"/>
      <c r="U26" s="332"/>
    </row>
    <row r="27" spans="1:21" s="29" customFormat="1" ht="18.75">
      <c r="A27" s="238" t="s">
        <v>118</v>
      </c>
      <c r="B27" s="240"/>
      <c r="C27" s="239"/>
      <c r="D27" s="239"/>
      <c r="E27" s="320"/>
      <c r="F27" s="203"/>
      <c r="G27" s="277"/>
      <c r="H27" s="288"/>
      <c r="I27" s="285"/>
      <c r="J27" s="285"/>
      <c r="K27" s="289"/>
      <c r="L27" s="285"/>
      <c r="M27" s="285"/>
      <c r="N27" s="285"/>
      <c r="O27" s="285"/>
      <c r="P27" s="285"/>
      <c r="Q27" s="285"/>
      <c r="R27" s="289"/>
      <c r="S27" s="285"/>
      <c r="T27" s="285"/>
      <c r="U27" s="332"/>
    </row>
    <row r="28" spans="1:21" s="29" customFormat="1" ht="56.25">
      <c r="A28" s="238" t="s">
        <v>119</v>
      </c>
      <c r="B28" s="240" t="s">
        <v>120</v>
      </c>
      <c r="C28" s="239"/>
      <c r="D28" s="239" t="s">
        <v>121</v>
      </c>
      <c r="E28" s="320"/>
      <c r="F28" s="203"/>
      <c r="G28" s="277"/>
      <c r="H28" s="351">
        <v>22555</v>
      </c>
      <c r="I28" s="285"/>
      <c r="J28" s="285"/>
      <c r="K28" s="289"/>
      <c r="L28" s="285"/>
      <c r="M28" s="285"/>
      <c r="N28" s="285"/>
      <c r="O28" s="285"/>
      <c r="P28" s="285"/>
      <c r="Q28" s="285"/>
      <c r="R28" s="289"/>
      <c r="S28" s="285"/>
      <c r="T28" s="285"/>
      <c r="U28" s="332"/>
    </row>
    <row r="29" spans="1:21" s="29" customFormat="1" ht="75">
      <c r="A29" s="238" t="s">
        <v>122</v>
      </c>
      <c r="B29" s="240" t="s">
        <v>123</v>
      </c>
      <c r="C29" s="240" t="s">
        <v>124</v>
      </c>
      <c r="D29" s="239" t="s">
        <v>121</v>
      </c>
      <c r="E29" s="320"/>
      <c r="F29" s="203"/>
      <c r="G29" s="277"/>
      <c r="H29" s="351">
        <v>22890</v>
      </c>
      <c r="I29" s="285"/>
      <c r="J29" s="285"/>
      <c r="K29" s="289"/>
      <c r="L29" s="285"/>
      <c r="M29" s="285"/>
      <c r="N29" s="285"/>
      <c r="O29" s="285"/>
      <c r="P29" s="285"/>
      <c r="Q29" s="285"/>
      <c r="R29" s="289"/>
      <c r="S29" s="285"/>
      <c r="T29" s="285"/>
      <c r="U29" s="332"/>
    </row>
    <row r="30" spans="1:21" s="29" customFormat="1" ht="56.25">
      <c r="A30" s="1467" t="s">
        <v>125</v>
      </c>
      <c r="B30" s="1470" t="s">
        <v>126</v>
      </c>
      <c r="C30" s="1470" t="s">
        <v>127</v>
      </c>
      <c r="D30" s="1470" t="s">
        <v>128</v>
      </c>
      <c r="E30" s="240" t="s">
        <v>129</v>
      </c>
      <c r="F30" s="352">
        <f>5*20*13*2</f>
        <v>2600</v>
      </c>
      <c r="G30" s="1441" t="s">
        <v>77</v>
      </c>
      <c r="H30" s="1472">
        <v>22494</v>
      </c>
      <c r="I30" s="1475"/>
      <c r="J30" s="1475"/>
      <c r="K30" s="1475"/>
      <c r="L30" s="1475"/>
      <c r="M30" s="1475"/>
      <c r="N30" s="1475"/>
      <c r="O30" s="1475"/>
      <c r="P30" s="1475"/>
      <c r="Q30" s="1475"/>
      <c r="R30" s="1475"/>
      <c r="S30" s="1478">
        <f>+F30+F31+F32</f>
        <v>10000</v>
      </c>
      <c r="T30" s="1475"/>
      <c r="U30" s="1458" t="s">
        <v>72</v>
      </c>
    </row>
    <row r="31" spans="1:21" s="60" customFormat="1" ht="56.25">
      <c r="A31" s="1468"/>
      <c r="B31" s="1470"/>
      <c r="C31" s="1470"/>
      <c r="D31" s="1470"/>
      <c r="E31" s="240" t="s">
        <v>130</v>
      </c>
      <c r="F31" s="352">
        <f>5*80*13</f>
        <v>5200</v>
      </c>
      <c r="G31" s="1442"/>
      <c r="H31" s="1473"/>
      <c r="I31" s="1476"/>
      <c r="J31" s="1476"/>
      <c r="K31" s="1476"/>
      <c r="L31" s="1476"/>
      <c r="M31" s="1476"/>
      <c r="N31" s="1476"/>
      <c r="O31" s="1476"/>
      <c r="P31" s="1476"/>
      <c r="Q31" s="1476"/>
      <c r="R31" s="1476"/>
      <c r="S31" s="1479"/>
      <c r="T31" s="1476"/>
      <c r="U31" s="1459"/>
    </row>
    <row r="32" spans="1:21" s="60" customFormat="1" ht="18.75">
      <c r="A32" s="1468"/>
      <c r="B32" s="1470"/>
      <c r="C32" s="1470"/>
      <c r="D32" s="1470"/>
      <c r="E32" s="240" t="s">
        <v>131</v>
      </c>
      <c r="F32" s="352">
        <v>2200</v>
      </c>
      <c r="G32" s="1442"/>
      <c r="H32" s="1473"/>
      <c r="I32" s="1476"/>
      <c r="J32" s="1476"/>
      <c r="K32" s="1476"/>
      <c r="L32" s="1476"/>
      <c r="M32" s="1476"/>
      <c r="N32" s="1476"/>
      <c r="O32" s="1476"/>
      <c r="P32" s="1476"/>
      <c r="Q32" s="1476"/>
      <c r="R32" s="1476"/>
      <c r="S32" s="1479"/>
      <c r="T32" s="1476"/>
      <c r="U32" s="1459"/>
    </row>
    <row r="33" spans="1:21" s="60" customFormat="1" ht="18.75">
      <c r="A33" s="1469"/>
      <c r="B33" s="1470"/>
      <c r="C33" s="1470"/>
      <c r="D33" s="1470"/>
      <c r="E33" s="287" t="s">
        <v>4</v>
      </c>
      <c r="F33" s="280">
        <f>SUM(F30:F32)</f>
        <v>10000</v>
      </c>
      <c r="G33" s="1471"/>
      <c r="H33" s="1474"/>
      <c r="I33" s="1477"/>
      <c r="J33" s="1477"/>
      <c r="K33" s="1477"/>
      <c r="L33" s="1477"/>
      <c r="M33" s="1477"/>
      <c r="N33" s="1477"/>
      <c r="O33" s="1477"/>
      <c r="P33" s="1477"/>
      <c r="Q33" s="1477"/>
      <c r="R33" s="1477"/>
      <c r="S33" s="1480"/>
      <c r="T33" s="1477"/>
      <c r="U33" s="1460"/>
    </row>
    <row r="34" spans="1:21" s="354" customFormat="1" ht="33">
      <c r="A34" s="1481" t="s">
        <v>132</v>
      </c>
      <c r="B34" s="1470" t="s">
        <v>133</v>
      </c>
      <c r="C34" s="1467" t="s">
        <v>134</v>
      </c>
      <c r="D34" s="1470" t="s">
        <v>135</v>
      </c>
      <c r="E34" s="1054" t="s">
        <v>136</v>
      </c>
      <c r="F34" s="31">
        <f>460*4*3</f>
        <v>5520</v>
      </c>
      <c r="G34" s="1441" t="s">
        <v>77</v>
      </c>
      <c r="H34" s="1484">
        <v>22647</v>
      </c>
      <c r="I34" s="1487"/>
      <c r="J34" s="1487"/>
      <c r="K34" s="1487"/>
      <c r="L34" s="1490">
        <f>+F40</f>
        <v>41320</v>
      </c>
      <c r="M34" s="1487"/>
      <c r="N34" s="1487"/>
      <c r="O34" s="1487"/>
      <c r="P34" s="1487"/>
      <c r="Q34" s="1487"/>
      <c r="R34" s="1487"/>
      <c r="S34" s="1487"/>
      <c r="T34" s="1487"/>
      <c r="U34" s="1493" t="s">
        <v>72</v>
      </c>
    </row>
    <row r="35" spans="1:21" s="354" customFormat="1" ht="33">
      <c r="A35" s="1482"/>
      <c r="B35" s="1470"/>
      <c r="C35" s="1468"/>
      <c r="D35" s="1470"/>
      <c r="E35" s="1054" t="s">
        <v>1460</v>
      </c>
      <c r="F35" s="31">
        <f>100*80*2</f>
        <v>16000</v>
      </c>
      <c r="G35" s="1442"/>
      <c r="H35" s="1485"/>
      <c r="I35" s="1488"/>
      <c r="J35" s="1488"/>
      <c r="K35" s="1488"/>
      <c r="L35" s="1491"/>
      <c r="M35" s="1488"/>
      <c r="N35" s="1488"/>
      <c r="O35" s="1488"/>
      <c r="P35" s="1488"/>
      <c r="Q35" s="1488"/>
      <c r="R35" s="1488"/>
      <c r="S35" s="1488"/>
      <c r="T35" s="1488"/>
      <c r="U35" s="1485"/>
    </row>
    <row r="36" spans="1:21" s="354" customFormat="1" ht="33">
      <c r="A36" s="1482"/>
      <c r="B36" s="1470"/>
      <c r="C36" s="1468"/>
      <c r="D36" s="1470"/>
      <c r="E36" s="1054" t="s">
        <v>1461</v>
      </c>
      <c r="F36" s="31">
        <f>80*30*4</f>
        <v>9600</v>
      </c>
      <c r="G36" s="1442"/>
      <c r="H36" s="1485"/>
      <c r="I36" s="1488"/>
      <c r="J36" s="1488"/>
      <c r="K36" s="1488"/>
      <c r="L36" s="1491"/>
      <c r="M36" s="1488"/>
      <c r="N36" s="1488"/>
      <c r="O36" s="1488"/>
      <c r="P36" s="1488"/>
      <c r="Q36" s="1488"/>
      <c r="R36" s="1488"/>
      <c r="S36" s="1488"/>
      <c r="T36" s="1488"/>
      <c r="U36" s="1485"/>
    </row>
    <row r="37" spans="1:21" s="354" customFormat="1" ht="18.75">
      <c r="A37" s="1482"/>
      <c r="B37" s="1470"/>
      <c r="C37" s="1468"/>
      <c r="D37" s="1470"/>
      <c r="E37" s="1054" t="s">
        <v>1462</v>
      </c>
      <c r="F37" s="31">
        <f>160*30</f>
        <v>4800</v>
      </c>
      <c r="G37" s="1442"/>
      <c r="H37" s="1485"/>
      <c r="I37" s="1488"/>
      <c r="J37" s="1488"/>
      <c r="K37" s="1488"/>
      <c r="L37" s="1491"/>
      <c r="M37" s="1488"/>
      <c r="N37" s="1488"/>
      <c r="O37" s="1488"/>
      <c r="P37" s="1488"/>
      <c r="Q37" s="1488"/>
      <c r="R37" s="1488"/>
      <c r="S37" s="1488"/>
      <c r="T37" s="1488"/>
      <c r="U37" s="1485"/>
    </row>
    <row r="38" spans="1:21" s="354" customFormat="1" ht="33">
      <c r="A38" s="1482"/>
      <c r="B38" s="1470"/>
      <c r="C38" s="1468"/>
      <c r="D38" s="1470"/>
      <c r="E38" s="1054" t="s">
        <v>137</v>
      </c>
      <c r="F38" s="31">
        <f>1500*2</f>
        <v>3000</v>
      </c>
      <c r="G38" s="1442"/>
      <c r="H38" s="1485"/>
      <c r="I38" s="1488"/>
      <c r="J38" s="1488"/>
      <c r="K38" s="1488"/>
      <c r="L38" s="1491"/>
      <c r="M38" s="1488"/>
      <c r="N38" s="1488"/>
      <c r="O38" s="1488"/>
      <c r="P38" s="1488"/>
      <c r="Q38" s="1488"/>
      <c r="R38" s="1488"/>
      <c r="S38" s="1488"/>
      <c r="T38" s="1488"/>
      <c r="U38" s="1485"/>
    </row>
    <row r="39" spans="1:21" s="354" customFormat="1" ht="33">
      <c r="A39" s="1482"/>
      <c r="B39" s="1470"/>
      <c r="C39" s="1468"/>
      <c r="D39" s="1470"/>
      <c r="E39" s="1054" t="s">
        <v>138</v>
      </c>
      <c r="F39" s="31">
        <f>2*2*600</f>
        <v>2400</v>
      </c>
      <c r="G39" s="1442"/>
      <c r="H39" s="1485"/>
      <c r="I39" s="1488"/>
      <c r="J39" s="1488"/>
      <c r="K39" s="1488"/>
      <c r="L39" s="1491"/>
      <c r="M39" s="1488"/>
      <c r="N39" s="1488"/>
      <c r="O39" s="1488"/>
      <c r="P39" s="1488"/>
      <c r="Q39" s="1488"/>
      <c r="R39" s="1488"/>
      <c r="S39" s="1488"/>
      <c r="T39" s="1488"/>
      <c r="U39" s="1485"/>
    </row>
    <row r="40" spans="1:21" s="354" customFormat="1" ht="18.75">
      <c r="A40" s="1483"/>
      <c r="B40" s="1470"/>
      <c r="C40" s="1469"/>
      <c r="D40" s="1470"/>
      <c r="E40" s="287" t="s">
        <v>4</v>
      </c>
      <c r="F40" s="280">
        <f>SUM(F34:F39)</f>
        <v>41320</v>
      </c>
      <c r="G40" s="303"/>
      <c r="H40" s="1486"/>
      <c r="I40" s="1489"/>
      <c r="J40" s="1489"/>
      <c r="K40" s="1489"/>
      <c r="L40" s="1492"/>
      <c r="M40" s="1489"/>
      <c r="N40" s="1489"/>
      <c r="O40" s="1489"/>
      <c r="P40" s="1489"/>
      <c r="Q40" s="1489"/>
      <c r="R40" s="1489"/>
      <c r="S40" s="1489"/>
      <c r="T40" s="1489"/>
      <c r="U40" s="1486"/>
    </row>
    <row r="41" spans="1:21" s="29" customFormat="1" ht="64.5">
      <c r="E41" s="355" t="s">
        <v>139</v>
      </c>
      <c r="F41" s="356">
        <f>+F40+F33+F21+F18+F15+F9</f>
        <v>93000</v>
      </c>
      <c r="G41" s="357"/>
      <c r="H41" s="357"/>
      <c r="I41" s="358">
        <f t="shared" ref="I41:T41" si="0">SUM(I7:I40)</f>
        <v>0</v>
      </c>
      <c r="J41" s="358">
        <f t="shared" si="0"/>
        <v>0</v>
      </c>
      <c r="K41" s="358">
        <f t="shared" si="0"/>
        <v>1400</v>
      </c>
      <c r="L41" s="358">
        <f t="shared" si="0"/>
        <v>43320</v>
      </c>
      <c r="M41" s="358">
        <f t="shared" si="0"/>
        <v>2000</v>
      </c>
      <c r="N41" s="358">
        <f t="shared" si="0"/>
        <v>2000</v>
      </c>
      <c r="O41" s="358">
        <f t="shared" si="0"/>
        <v>3400</v>
      </c>
      <c r="P41" s="358">
        <f t="shared" si="0"/>
        <v>3680</v>
      </c>
      <c r="Q41" s="358">
        <f t="shared" si="0"/>
        <v>16080</v>
      </c>
      <c r="R41" s="358">
        <f t="shared" si="0"/>
        <v>8040</v>
      </c>
      <c r="S41" s="358">
        <f t="shared" si="0"/>
        <v>13080</v>
      </c>
      <c r="T41" s="358">
        <f t="shared" si="0"/>
        <v>0</v>
      </c>
      <c r="U41" s="1055"/>
    </row>
    <row r="43" spans="1:21" ht="21.75">
      <c r="A43" s="143" t="s">
        <v>140</v>
      </c>
      <c r="B43" s="1494" t="s">
        <v>141</v>
      </c>
      <c r="C43" s="1494"/>
      <c r="D43" s="1494"/>
      <c r="E43" s="1494"/>
    </row>
  </sheetData>
  <mergeCells count="127">
    <mergeCell ref="L34:L40"/>
    <mergeCell ref="M34:M40"/>
    <mergeCell ref="T34:T40"/>
    <mergeCell ref="U34:U40"/>
    <mergeCell ref="S34:S40"/>
    <mergeCell ref="B43:E43"/>
    <mergeCell ref="N34:N40"/>
    <mergeCell ref="O34:O40"/>
    <mergeCell ref="P34:P40"/>
    <mergeCell ref="Q34:Q40"/>
    <mergeCell ref="R34:R40"/>
    <mergeCell ref="A34:A40"/>
    <mergeCell ref="B34:B40"/>
    <mergeCell ref="C34:C40"/>
    <mergeCell ref="D34:D40"/>
    <mergeCell ref="G34:G39"/>
    <mergeCell ref="K30:K33"/>
    <mergeCell ref="H34:H40"/>
    <mergeCell ref="I34:I40"/>
    <mergeCell ref="J34:J40"/>
    <mergeCell ref="K34:K40"/>
    <mergeCell ref="N19:N21"/>
    <mergeCell ref="A19:A21"/>
    <mergeCell ref="B19:B21"/>
    <mergeCell ref="Q30:Q33"/>
    <mergeCell ref="R30:R33"/>
    <mergeCell ref="S30:S33"/>
    <mergeCell ref="T30:T33"/>
    <mergeCell ref="O30:O33"/>
    <mergeCell ref="P30:P33"/>
    <mergeCell ref="R19:R21"/>
    <mergeCell ref="S19:S21"/>
    <mergeCell ref="L30:L33"/>
    <mergeCell ref="M30:M33"/>
    <mergeCell ref="N30:N33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U30:U33"/>
    <mergeCell ref="S13:S15"/>
    <mergeCell ref="T13:T15"/>
    <mergeCell ref="U13:U15"/>
    <mergeCell ref="O13:O15"/>
    <mergeCell ref="P13:P15"/>
    <mergeCell ref="Q13:Q15"/>
    <mergeCell ref="R13:R15"/>
    <mergeCell ref="C19:C21"/>
    <mergeCell ref="D19:D21"/>
    <mergeCell ref="G19:G20"/>
    <mergeCell ref="H19:H21"/>
    <mergeCell ref="P16:P18"/>
    <mergeCell ref="Q16:Q18"/>
    <mergeCell ref="O19:O21"/>
    <mergeCell ref="P19:P21"/>
    <mergeCell ref="Q19:Q21"/>
    <mergeCell ref="I16:I18"/>
    <mergeCell ref="U19:U21"/>
    <mergeCell ref="T19:T21"/>
    <mergeCell ref="I19:I21"/>
    <mergeCell ref="J19:J21"/>
    <mergeCell ref="K19:K21"/>
    <mergeCell ref="L19:L21"/>
    <mergeCell ref="M19:M21"/>
    <mergeCell ref="U16:U18"/>
    <mergeCell ref="J16:J18"/>
    <mergeCell ref="K16:K18"/>
    <mergeCell ref="L16:L18"/>
    <mergeCell ref="M16:M18"/>
    <mergeCell ref="N16:N18"/>
    <mergeCell ref="O16:O18"/>
    <mergeCell ref="R16:R18"/>
    <mergeCell ref="S16:S18"/>
    <mergeCell ref="T16:T18"/>
    <mergeCell ref="O5:O6"/>
    <mergeCell ref="N5:N6"/>
    <mergeCell ref="A16:A18"/>
    <mergeCell ref="B16:B18"/>
    <mergeCell ref="C16:C18"/>
    <mergeCell ref="D16:D18"/>
    <mergeCell ref="G16:G17"/>
    <mergeCell ref="H16:H18"/>
    <mergeCell ref="M13:M15"/>
    <mergeCell ref="N13:N15"/>
    <mergeCell ref="G13:G14"/>
    <mergeCell ref="H13:H15"/>
    <mergeCell ref="I13:I15"/>
    <mergeCell ref="J13:J15"/>
    <mergeCell ref="K13:K15"/>
    <mergeCell ref="L13:L15"/>
    <mergeCell ref="A8:A10"/>
    <mergeCell ref="B8:B10"/>
    <mergeCell ref="C8:C10"/>
    <mergeCell ref="D8:D10"/>
    <mergeCell ref="A13:A15"/>
    <mergeCell ref="B13:B15"/>
    <mergeCell ref="C13:C15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M5:M6"/>
    <mergeCell ref="U4:U6"/>
    <mergeCell ref="E5:E6"/>
    <mergeCell ref="F5:F6"/>
    <mergeCell ref="G5:G6"/>
    <mergeCell ref="I5:I6"/>
    <mergeCell ref="J5:J6"/>
    <mergeCell ref="K5:K6"/>
    <mergeCell ref="L5:L6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opLeftCell="A3" zoomScaleSheetLayoutView="100" workbookViewId="0">
      <pane xSplit="4" ySplit="3" topLeftCell="E6" activePane="bottomRight" state="frozen"/>
      <selection activeCell="H2" sqref="H1:U65536"/>
      <selection pane="topRight" activeCell="H2" sqref="H1:U65536"/>
      <selection pane="bottomLeft" activeCell="H2" sqref="H1:U65536"/>
      <selection pane="bottomRight" activeCell="H2" sqref="H1:U65536"/>
    </sheetView>
  </sheetViews>
  <sheetFormatPr defaultColWidth="9" defaultRowHeight="18.75"/>
  <cols>
    <col min="1" max="5" width="22.75" style="29" customWidth="1"/>
    <col min="6" max="6" width="9.375" style="29" customWidth="1"/>
    <col min="7" max="7" width="4.875" style="29" customWidth="1"/>
    <col min="8" max="8" width="5.25" style="29" customWidth="1"/>
    <col min="9" max="14" width="3.875" style="29" customWidth="1"/>
    <col min="15" max="15" width="4.25" style="29" customWidth="1"/>
    <col min="16" max="19" width="3.875" style="29" customWidth="1"/>
    <col min="20" max="20" width="4" style="29" customWidth="1"/>
    <col min="21" max="21" width="5" style="29" customWidth="1"/>
    <col min="22" max="16384" width="9" style="29"/>
  </cols>
  <sheetData>
    <row r="1" spans="1:23" s="1" customFormat="1" ht="20.25">
      <c r="A1" s="1495" t="s">
        <v>150</v>
      </c>
      <c r="B1" s="1495"/>
      <c r="C1" s="1495"/>
      <c r="D1" s="1495"/>
      <c r="E1" s="1495"/>
      <c r="F1" s="1495"/>
      <c r="G1" s="1495"/>
      <c r="H1" s="1495"/>
      <c r="I1" s="1495"/>
      <c r="J1" s="1495"/>
      <c r="K1" s="1495"/>
      <c r="L1" s="1495"/>
      <c r="M1" s="1495"/>
      <c r="N1" s="1495"/>
      <c r="O1" s="1495"/>
      <c r="P1" s="1495"/>
      <c r="Q1" s="1495"/>
      <c r="R1" s="1495"/>
      <c r="S1" s="1495"/>
      <c r="T1" s="1495"/>
      <c r="U1" s="1495"/>
      <c r="V1" s="34"/>
      <c r="W1" s="34"/>
    </row>
    <row r="2" spans="1:23" s="1" customFormat="1" ht="20.25">
      <c r="A2" s="35" t="s">
        <v>151</v>
      </c>
      <c r="B2" s="359"/>
      <c r="C2" s="359"/>
      <c r="D2" s="359"/>
      <c r="E2" s="359"/>
    </row>
    <row r="3" spans="1:23">
      <c r="A3" s="1496" t="s">
        <v>44</v>
      </c>
      <c r="B3" s="1496" t="s">
        <v>45</v>
      </c>
      <c r="C3" s="1496" t="s">
        <v>46</v>
      </c>
      <c r="D3" s="1496" t="s">
        <v>47</v>
      </c>
      <c r="E3" s="1497" t="s">
        <v>52</v>
      </c>
      <c r="F3" s="1496" t="s">
        <v>48</v>
      </c>
      <c r="G3" s="1496"/>
      <c r="H3" s="1497" t="s">
        <v>152</v>
      </c>
      <c r="I3" s="1496" t="s">
        <v>50</v>
      </c>
      <c r="J3" s="1496"/>
      <c r="K3" s="1496"/>
      <c r="L3" s="1496"/>
      <c r="M3" s="1496"/>
      <c r="N3" s="1496"/>
      <c r="O3" s="1496"/>
      <c r="P3" s="1496"/>
      <c r="Q3" s="1496"/>
      <c r="R3" s="1496"/>
      <c r="S3" s="1496"/>
      <c r="T3" s="1496"/>
      <c r="U3" s="1500" t="s">
        <v>153</v>
      </c>
    </row>
    <row r="4" spans="1:23">
      <c r="A4" s="1496"/>
      <c r="B4" s="1496"/>
      <c r="C4" s="1496"/>
      <c r="D4" s="1496"/>
      <c r="E4" s="1498"/>
      <c r="F4" s="1496" t="s">
        <v>53</v>
      </c>
      <c r="G4" s="1496" t="s">
        <v>54</v>
      </c>
      <c r="H4" s="1498"/>
      <c r="I4" s="1503" t="s">
        <v>55</v>
      </c>
      <c r="J4" s="1503" t="s">
        <v>56</v>
      </c>
      <c r="K4" s="1503" t="s">
        <v>57</v>
      </c>
      <c r="L4" s="1503" t="s">
        <v>58</v>
      </c>
      <c r="M4" s="1503" t="s">
        <v>59</v>
      </c>
      <c r="N4" s="1503" t="s">
        <v>60</v>
      </c>
      <c r="O4" s="1503" t="s">
        <v>61</v>
      </c>
      <c r="P4" s="1503" t="s">
        <v>62</v>
      </c>
      <c r="Q4" s="1503" t="s">
        <v>63</v>
      </c>
      <c r="R4" s="1503" t="s">
        <v>64</v>
      </c>
      <c r="S4" s="1503" t="s">
        <v>65</v>
      </c>
      <c r="T4" s="1503" t="s">
        <v>66</v>
      </c>
      <c r="U4" s="1501"/>
    </row>
    <row r="5" spans="1:23">
      <c r="A5" s="1496"/>
      <c r="B5" s="1496"/>
      <c r="C5" s="1496"/>
      <c r="D5" s="1496"/>
      <c r="E5" s="1499"/>
      <c r="F5" s="1496"/>
      <c r="G5" s="1496"/>
      <c r="H5" s="1499"/>
      <c r="I5" s="1503"/>
      <c r="J5" s="1503"/>
      <c r="K5" s="1503"/>
      <c r="L5" s="1503"/>
      <c r="M5" s="1503"/>
      <c r="N5" s="1503"/>
      <c r="O5" s="1503"/>
      <c r="P5" s="1503"/>
      <c r="Q5" s="1503"/>
      <c r="R5" s="1503"/>
      <c r="S5" s="1503"/>
      <c r="T5" s="1503"/>
      <c r="U5" s="1502"/>
    </row>
    <row r="6" spans="1:23" ht="37.5">
      <c r="A6" s="1437" t="s">
        <v>154</v>
      </c>
      <c r="B6" s="1440" t="s">
        <v>155</v>
      </c>
      <c r="C6" s="1437" t="s">
        <v>156</v>
      </c>
      <c r="D6" s="1440" t="s">
        <v>157</v>
      </c>
      <c r="E6" s="202" t="s">
        <v>158</v>
      </c>
      <c r="F6" s="36">
        <f>70*7*80</f>
        <v>39200</v>
      </c>
      <c r="G6" s="1504" t="s">
        <v>77</v>
      </c>
      <c r="H6" s="1507" t="s">
        <v>159</v>
      </c>
      <c r="I6" s="1509">
        <v>4900</v>
      </c>
      <c r="J6" s="1509">
        <v>4900</v>
      </c>
      <c r="K6" s="1509">
        <v>4800</v>
      </c>
      <c r="L6" s="1509">
        <v>4800</v>
      </c>
      <c r="M6" s="1509">
        <v>4800</v>
      </c>
      <c r="N6" s="1509">
        <v>4800</v>
      </c>
      <c r="O6" s="1509">
        <v>4800</v>
      </c>
      <c r="P6" s="1509">
        <v>4800</v>
      </c>
      <c r="Q6" s="1509">
        <v>4800</v>
      </c>
      <c r="R6" s="1509">
        <v>4800</v>
      </c>
      <c r="S6" s="1509">
        <v>4900</v>
      </c>
      <c r="T6" s="1509">
        <v>4900</v>
      </c>
      <c r="U6" s="1512" t="s">
        <v>160</v>
      </c>
    </row>
    <row r="7" spans="1:23" ht="37.5">
      <c r="A7" s="1438"/>
      <c r="B7" s="1440"/>
      <c r="C7" s="1438"/>
      <c r="D7" s="1440"/>
      <c r="E7" s="210" t="s">
        <v>161</v>
      </c>
      <c r="F7" s="36">
        <f>70*12*20</f>
        <v>16800</v>
      </c>
      <c r="G7" s="1505"/>
      <c r="H7" s="1508"/>
      <c r="I7" s="1510"/>
      <c r="J7" s="1510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3"/>
    </row>
    <row r="8" spans="1:23">
      <c r="A8" s="1438"/>
      <c r="B8" s="1440"/>
      <c r="C8" s="1438"/>
      <c r="D8" s="1440"/>
      <c r="E8" s="210" t="s">
        <v>162</v>
      </c>
      <c r="F8" s="36">
        <f>93400-91400</f>
        <v>2000</v>
      </c>
      <c r="G8" s="1506"/>
      <c r="H8" s="1508"/>
      <c r="I8" s="1510"/>
      <c r="J8" s="1510"/>
      <c r="K8" s="1511"/>
      <c r="L8" s="1511"/>
      <c r="M8" s="1511"/>
      <c r="N8" s="1511"/>
      <c r="O8" s="1511"/>
      <c r="P8" s="1511"/>
      <c r="Q8" s="1511"/>
      <c r="R8" s="1511"/>
      <c r="S8" s="1511"/>
      <c r="T8" s="1511"/>
      <c r="U8" s="1513"/>
    </row>
    <row r="9" spans="1:23">
      <c r="A9" s="1439"/>
      <c r="B9" s="1440"/>
      <c r="C9" s="1439"/>
      <c r="D9" s="1440"/>
      <c r="E9" s="279" t="s">
        <v>4</v>
      </c>
      <c r="F9" s="37">
        <f>SUM(I6:T8)</f>
        <v>58000</v>
      </c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0"/>
      <c r="V9" s="40"/>
    </row>
    <row r="10" spans="1:23" ht="37.5">
      <c r="A10" s="1452" t="s">
        <v>163</v>
      </c>
      <c r="B10" s="1455" t="s">
        <v>164</v>
      </c>
      <c r="C10" s="1455" t="s">
        <v>165</v>
      </c>
      <c r="D10" s="1452" t="s">
        <v>166</v>
      </c>
      <c r="E10" s="202" t="s">
        <v>167</v>
      </c>
      <c r="F10" s="36">
        <f>270*2*80</f>
        <v>43200</v>
      </c>
      <c r="G10" s="1504" t="s">
        <v>77</v>
      </c>
      <c r="H10" s="1507" t="s">
        <v>168</v>
      </c>
      <c r="I10" s="1514"/>
      <c r="J10" s="1509">
        <v>33400</v>
      </c>
      <c r="K10" s="1509"/>
      <c r="L10" s="1509"/>
      <c r="M10" s="1509"/>
      <c r="N10" s="1509"/>
      <c r="O10" s="1509">
        <v>33400</v>
      </c>
      <c r="P10" s="1514"/>
      <c r="Q10" s="1514"/>
      <c r="R10" s="1514"/>
      <c r="S10" s="1514"/>
      <c r="T10" s="1514"/>
      <c r="U10" s="1512" t="s">
        <v>160</v>
      </c>
    </row>
    <row r="11" spans="1:23" ht="56.25">
      <c r="A11" s="1453"/>
      <c r="B11" s="1456"/>
      <c r="C11" s="1456"/>
      <c r="D11" s="1453"/>
      <c r="E11" s="202" t="s">
        <v>169</v>
      </c>
      <c r="F11" s="36">
        <f>270*4*20</f>
        <v>21600</v>
      </c>
      <c r="G11" s="1505"/>
      <c r="H11" s="1508"/>
      <c r="I11" s="1515"/>
      <c r="J11" s="1510"/>
      <c r="K11" s="1510"/>
      <c r="L11" s="1510"/>
      <c r="M11" s="1510"/>
      <c r="N11" s="1510"/>
      <c r="O11" s="1510"/>
      <c r="P11" s="1515"/>
      <c r="Q11" s="1515"/>
      <c r="R11" s="1515"/>
      <c r="S11" s="1515"/>
      <c r="T11" s="1515"/>
      <c r="U11" s="1513"/>
    </row>
    <row r="12" spans="1:23">
      <c r="A12" s="1453"/>
      <c r="B12" s="1456"/>
      <c r="C12" s="1456"/>
      <c r="D12" s="1453"/>
      <c r="E12" s="202" t="s">
        <v>170</v>
      </c>
      <c r="F12" s="36">
        <v>2000</v>
      </c>
      <c r="G12" s="1506"/>
      <c r="H12" s="1508"/>
      <c r="I12" s="1515"/>
      <c r="J12" s="1510"/>
      <c r="K12" s="1510"/>
      <c r="L12" s="1510"/>
      <c r="M12" s="1510"/>
      <c r="N12" s="1510"/>
      <c r="O12" s="1510"/>
      <c r="P12" s="1515"/>
      <c r="Q12" s="1515"/>
      <c r="R12" s="1515"/>
      <c r="S12" s="1515"/>
      <c r="T12" s="1515"/>
      <c r="U12" s="1513"/>
    </row>
    <row r="13" spans="1:23">
      <c r="A13" s="1454"/>
      <c r="B13" s="1457"/>
      <c r="C13" s="1457"/>
      <c r="D13" s="1454"/>
      <c r="E13" s="279" t="s">
        <v>4</v>
      </c>
      <c r="F13" s="37">
        <f>SUM(F10:F12)</f>
        <v>66800</v>
      </c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/>
    </row>
    <row r="14" spans="1:23">
      <c r="A14" s="1516" t="s">
        <v>171</v>
      </c>
      <c r="B14" s="1516" t="s">
        <v>172</v>
      </c>
      <c r="C14" s="1516" t="s">
        <v>173</v>
      </c>
      <c r="D14" s="1516" t="s">
        <v>174</v>
      </c>
      <c r="E14" s="360"/>
      <c r="F14" s="41"/>
      <c r="G14" s="1517" t="s">
        <v>77</v>
      </c>
      <c r="H14" s="1507" t="s">
        <v>175</v>
      </c>
      <c r="I14" s="1521"/>
      <c r="J14" s="1521"/>
      <c r="K14" s="1521"/>
      <c r="L14" s="1521"/>
      <c r="M14" s="1521"/>
      <c r="N14" s="1521"/>
      <c r="O14" s="1521"/>
      <c r="P14" s="1521"/>
      <c r="Q14" s="1521"/>
      <c r="R14" s="1521"/>
      <c r="S14" s="1509">
        <f>F18</f>
        <v>0</v>
      </c>
      <c r="T14" s="1521"/>
      <c r="U14" s="1524" t="s">
        <v>160</v>
      </c>
    </row>
    <row r="15" spans="1:23">
      <c r="A15" s="1516"/>
      <c r="B15" s="1516"/>
      <c r="C15" s="1516"/>
      <c r="D15" s="1516"/>
      <c r="E15" s="360"/>
      <c r="F15" s="41"/>
      <c r="G15" s="1518"/>
      <c r="H15" s="1508"/>
      <c r="I15" s="1522"/>
      <c r="J15" s="1522"/>
      <c r="K15" s="1522"/>
      <c r="L15" s="1522"/>
      <c r="M15" s="1522"/>
      <c r="N15" s="1522"/>
      <c r="O15" s="1522"/>
      <c r="P15" s="1522"/>
      <c r="Q15" s="1522"/>
      <c r="R15" s="1522"/>
      <c r="S15" s="1510"/>
      <c r="T15" s="1522"/>
      <c r="U15" s="1525"/>
    </row>
    <row r="16" spans="1:23">
      <c r="A16" s="1516"/>
      <c r="B16" s="1516"/>
      <c r="C16" s="1516"/>
      <c r="D16" s="1516"/>
      <c r="E16" s="360"/>
      <c r="F16" s="41"/>
      <c r="G16" s="1518"/>
      <c r="H16" s="1508"/>
      <c r="I16" s="1522"/>
      <c r="J16" s="1522"/>
      <c r="K16" s="1522"/>
      <c r="L16" s="1522"/>
      <c r="M16" s="1522"/>
      <c r="N16" s="1522"/>
      <c r="O16" s="1522"/>
      <c r="P16" s="1522"/>
      <c r="Q16" s="1522"/>
      <c r="R16" s="1522"/>
      <c r="S16" s="1510"/>
      <c r="T16" s="1522"/>
      <c r="U16" s="1525"/>
    </row>
    <row r="17" spans="1:21">
      <c r="A17" s="1516"/>
      <c r="B17" s="1516"/>
      <c r="C17" s="1516"/>
      <c r="D17" s="1516"/>
      <c r="E17" s="360"/>
      <c r="F17" s="41"/>
      <c r="G17" s="1518"/>
      <c r="H17" s="1508"/>
      <c r="I17" s="1522"/>
      <c r="J17" s="1522"/>
      <c r="K17" s="1522"/>
      <c r="L17" s="1522"/>
      <c r="M17" s="1522"/>
      <c r="N17" s="1522"/>
      <c r="O17" s="1522"/>
      <c r="P17" s="1522"/>
      <c r="Q17" s="1522"/>
      <c r="R17" s="1522"/>
      <c r="S17" s="1510"/>
      <c r="T17" s="1522"/>
      <c r="U17" s="1525"/>
    </row>
    <row r="18" spans="1:21">
      <c r="A18" s="1516"/>
      <c r="B18" s="1516"/>
      <c r="C18" s="1516"/>
      <c r="D18" s="1516"/>
      <c r="E18" s="279"/>
      <c r="F18" s="37"/>
      <c r="G18" s="1519"/>
      <c r="H18" s="1520"/>
      <c r="I18" s="1523"/>
      <c r="J18" s="1523"/>
      <c r="K18" s="1523"/>
      <c r="L18" s="1523"/>
      <c r="M18" s="1523"/>
      <c r="N18" s="1523"/>
      <c r="O18" s="1523"/>
      <c r="P18" s="1523"/>
      <c r="Q18" s="1523"/>
      <c r="R18" s="1523"/>
      <c r="S18" s="1511"/>
      <c r="T18" s="1523"/>
      <c r="U18" s="1526"/>
    </row>
    <row r="19" spans="1:21">
      <c r="A19" s="1516" t="s">
        <v>176</v>
      </c>
      <c r="B19" s="1516" t="s">
        <v>177</v>
      </c>
      <c r="C19" s="1516" t="s">
        <v>173</v>
      </c>
      <c r="D19" s="1516" t="s">
        <v>178</v>
      </c>
      <c r="E19" s="360"/>
      <c r="F19" s="41"/>
      <c r="G19" s="1517" t="s">
        <v>77</v>
      </c>
      <c r="H19" s="1507" t="s">
        <v>175</v>
      </c>
      <c r="I19" s="1521"/>
      <c r="J19" s="1521"/>
      <c r="K19" s="1521"/>
      <c r="L19" s="1521"/>
      <c r="M19" s="1521"/>
      <c r="N19" s="1521"/>
      <c r="O19" s="1521"/>
      <c r="P19" s="1521"/>
      <c r="Q19" s="1521"/>
      <c r="R19" s="1521"/>
      <c r="S19" s="1509"/>
      <c r="T19" s="1521"/>
      <c r="U19" s="1524" t="s">
        <v>160</v>
      </c>
    </row>
    <row r="20" spans="1:21">
      <c r="A20" s="1516"/>
      <c r="B20" s="1516"/>
      <c r="C20" s="1516"/>
      <c r="D20" s="1516"/>
      <c r="E20" s="360"/>
      <c r="F20" s="41"/>
      <c r="G20" s="1518"/>
      <c r="H20" s="1508"/>
      <c r="I20" s="1522"/>
      <c r="J20" s="1522"/>
      <c r="K20" s="1522"/>
      <c r="L20" s="1522"/>
      <c r="M20" s="1522"/>
      <c r="N20" s="1522"/>
      <c r="O20" s="1522"/>
      <c r="P20" s="1522"/>
      <c r="Q20" s="1522"/>
      <c r="R20" s="1522"/>
      <c r="S20" s="1510"/>
      <c r="T20" s="1522"/>
      <c r="U20" s="1525"/>
    </row>
    <row r="21" spans="1:21">
      <c r="A21" s="1516"/>
      <c r="B21" s="1516"/>
      <c r="C21" s="1516"/>
      <c r="D21" s="1516"/>
      <c r="E21" s="360"/>
      <c r="F21" s="41"/>
      <c r="G21" s="1518"/>
      <c r="H21" s="1508"/>
      <c r="I21" s="1522"/>
      <c r="J21" s="1522"/>
      <c r="K21" s="1522"/>
      <c r="L21" s="1522"/>
      <c r="M21" s="1522"/>
      <c r="N21" s="1522"/>
      <c r="O21" s="1522"/>
      <c r="P21" s="1522"/>
      <c r="Q21" s="1522"/>
      <c r="R21" s="1522"/>
      <c r="S21" s="1510"/>
      <c r="T21" s="1522"/>
      <c r="U21" s="1525"/>
    </row>
    <row r="22" spans="1:21">
      <c r="A22" s="1516"/>
      <c r="B22" s="1516"/>
      <c r="C22" s="1516"/>
      <c r="D22" s="1516"/>
      <c r="E22" s="360"/>
      <c r="F22" s="41"/>
      <c r="G22" s="1518"/>
      <c r="H22" s="1508"/>
      <c r="I22" s="1522"/>
      <c r="J22" s="1522"/>
      <c r="K22" s="1522"/>
      <c r="L22" s="1522"/>
      <c r="M22" s="1522"/>
      <c r="N22" s="1522"/>
      <c r="O22" s="1522"/>
      <c r="P22" s="1522"/>
      <c r="Q22" s="1522"/>
      <c r="R22" s="1522"/>
      <c r="S22" s="1510"/>
      <c r="T22" s="1522"/>
      <c r="U22" s="1525"/>
    </row>
    <row r="23" spans="1:21">
      <c r="A23" s="1516"/>
      <c r="B23" s="1516"/>
      <c r="C23" s="1516"/>
      <c r="D23" s="1516"/>
      <c r="E23" s="279"/>
      <c r="F23" s="37"/>
      <c r="G23" s="1519"/>
      <c r="H23" s="1520"/>
      <c r="I23" s="1523"/>
      <c r="J23" s="1523"/>
      <c r="K23" s="1523"/>
      <c r="L23" s="1523"/>
      <c r="M23" s="1523"/>
      <c r="N23" s="1523"/>
      <c r="O23" s="1523"/>
      <c r="P23" s="1523"/>
      <c r="Q23" s="1523"/>
      <c r="R23" s="1523"/>
      <c r="S23" s="1511"/>
      <c r="T23" s="1523"/>
      <c r="U23" s="1526"/>
    </row>
    <row r="24" spans="1:21">
      <c r="A24" s="1481" t="s">
        <v>179</v>
      </c>
      <c r="B24" s="1516" t="s">
        <v>180</v>
      </c>
      <c r="C24" s="1481" t="s">
        <v>181</v>
      </c>
      <c r="D24" s="1481" t="s">
        <v>174</v>
      </c>
      <c r="E24" s="360"/>
      <c r="F24" s="36"/>
      <c r="G24" s="1517" t="s">
        <v>77</v>
      </c>
      <c r="H24" s="1507" t="s">
        <v>182</v>
      </c>
      <c r="I24" s="1521"/>
      <c r="J24" s="1521"/>
      <c r="K24" s="1521"/>
      <c r="L24" s="1521"/>
      <c r="M24" s="1521"/>
      <c r="N24" s="1521"/>
      <c r="O24" s="1521"/>
      <c r="P24" s="1521"/>
      <c r="Q24" s="1521"/>
      <c r="R24" s="1521"/>
      <c r="S24" s="42"/>
      <c r="T24" s="1509"/>
      <c r="U24" s="1524" t="s">
        <v>160</v>
      </c>
    </row>
    <row r="25" spans="1:21">
      <c r="A25" s="1482"/>
      <c r="B25" s="1516"/>
      <c r="C25" s="1482"/>
      <c r="D25" s="1482"/>
      <c r="E25" s="337"/>
      <c r="F25" s="43"/>
      <c r="G25" s="1518"/>
      <c r="H25" s="1508"/>
      <c r="I25" s="1522"/>
      <c r="J25" s="1522"/>
      <c r="K25" s="1522"/>
      <c r="L25" s="1522"/>
      <c r="M25" s="1522"/>
      <c r="N25" s="1522"/>
      <c r="O25" s="1522"/>
      <c r="P25" s="1522"/>
      <c r="Q25" s="1522"/>
      <c r="R25" s="1522"/>
      <c r="S25" s="44"/>
      <c r="T25" s="1510"/>
      <c r="U25" s="1525"/>
    </row>
    <row r="26" spans="1:21">
      <c r="A26" s="1482"/>
      <c r="B26" s="1516"/>
      <c r="C26" s="1482"/>
      <c r="D26" s="1482"/>
      <c r="E26" s="313"/>
      <c r="F26" s="45"/>
      <c r="G26" s="1518"/>
      <c r="H26" s="1508"/>
      <c r="I26" s="1522"/>
      <c r="J26" s="1522"/>
      <c r="K26" s="1522"/>
      <c r="L26" s="1522"/>
      <c r="M26" s="1522"/>
      <c r="N26" s="1522"/>
      <c r="O26" s="1522"/>
      <c r="P26" s="1522"/>
      <c r="Q26" s="1522"/>
      <c r="R26" s="1522"/>
      <c r="S26" s="44"/>
      <c r="T26" s="1510"/>
      <c r="U26" s="1525"/>
    </row>
    <row r="27" spans="1:21">
      <c r="A27" s="1483"/>
      <c r="B27" s="1516"/>
      <c r="C27" s="1483"/>
      <c r="D27" s="1483"/>
      <c r="E27" s="279"/>
      <c r="F27" s="37"/>
      <c r="G27" s="1519"/>
      <c r="H27" s="1520"/>
      <c r="I27" s="1523"/>
      <c r="J27" s="1523"/>
      <c r="K27" s="1523"/>
      <c r="L27" s="1523"/>
      <c r="M27" s="1523"/>
      <c r="N27" s="1523"/>
      <c r="O27" s="1523"/>
      <c r="P27" s="1523"/>
      <c r="Q27" s="1523"/>
      <c r="R27" s="1523"/>
      <c r="S27" s="46"/>
      <c r="T27" s="1511"/>
      <c r="U27" s="1526"/>
    </row>
    <row r="28" spans="1:21" ht="37.5">
      <c r="A28" s="1455" t="s">
        <v>183</v>
      </c>
      <c r="B28" s="1455" t="s">
        <v>164</v>
      </c>
      <c r="C28" s="1455" t="s">
        <v>184</v>
      </c>
      <c r="D28" s="1455" t="s">
        <v>185</v>
      </c>
      <c r="E28" s="205" t="s">
        <v>186</v>
      </c>
      <c r="F28" s="36">
        <f>120*2*120*2</f>
        <v>57600</v>
      </c>
      <c r="G28" s="1527" t="s">
        <v>77</v>
      </c>
      <c r="H28" s="1507" t="s">
        <v>168</v>
      </c>
      <c r="I28" s="1521"/>
      <c r="J28" s="1521"/>
      <c r="K28" s="1509">
        <f>F36/2</f>
        <v>121840</v>
      </c>
      <c r="L28" s="1531"/>
      <c r="M28" s="1531"/>
      <c r="N28" s="1531"/>
      <c r="O28" s="1531"/>
      <c r="P28" s="1531"/>
      <c r="Q28" s="1531"/>
      <c r="R28" s="1509">
        <v>118440</v>
      </c>
      <c r="S28" s="1531"/>
      <c r="T28" s="1521"/>
      <c r="U28" s="1512" t="s">
        <v>160</v>
      </c>
    </row>
    <row r="29" spans="1:21" ht="56.25">
      <c r="A29" s="1456"/>
      <c r="B29" s="1456"/>
      <c r="C29" s="1456"/>
      <c r="D29" s="1456"/>
      <c r="E29" s="205" t="s">
        <v>1425</v>
      </c>
      <c r="F29" s="36">
        <f>120*4*35*2</f>
        <v>33600</v>
      </c>
      <c r="G29" s="1528"/>
      <c r="H29" s="1508"/>
      <c r="I29" s="1522"/>
      <c r="J29" s="1522"/>
      <c r="K29" s="1510"/>
      <c r="L29" s="1532"/>
      <c r="M29" s="1532"/>
      <c r="N29" s="1532"/>
      <c r="O29" s="1532"/>
      <c r="P29" s="1532"/>
      <c r="Q29" s="1532"/>
      <c r="R29" s="1510"/>
      <c r="S29" s="1532"/>
      <c r="T29" s="1522"/>
      <c r="U29" s="1513"/>
    </row>
    <row r="30" spans="1:21" ht="37.5">
      <c r="A30" s="1456"/>
      <c r="B30" s="1456"/>
      <c r="C30" s="1456"/>
      <c r="D30" s="1456"/>
      <c r="E30" s="205" t="s">
        <v>187</v>
      </c>
      <c r="F30" s="36">
        <f>120*2*120*2</f>
        <v>57600</v>
      </c>
      <c r="G30" s="1528"/>
      <c r="H30" s="1508"/>
      <c r="I30" s="1522"/>
      <c r="J30" s="1522"/>
      <c r="K30" s="1510"/>
      <c r="L30" s="1532"/>
      <c r="M30" s="1532"/>
      <c r="N30" s="1532"/>
      <c r="O30" s="1532"/>
      <c r="P30" s="1532"/>
      <c r="Q30" s="1532"/>
      <c r="R30" s="1510"/>
      <c r="S30" s="1532"/>
      <c r="T30" s="1522"/>
      <c r="U30" s="1513"/>
    </row>
    <row r="31" spans="1:21" ht="37.5">
      <c r="A31" s="1456"/>
      <c r="B31" s="1456"/>
      <c r="C31" s="1456"/>
      <c r="D31" s="1456"/>
      <c r="E31" s="205" t="s">
        <v>188</v>
      </c>
      <c r="F31" s="36">
        <f>120*2*120*2</f>
        <v>57600</v>
      </c>
      <c r="G31" s="1528"/>
      <c r="H31" s="1508"/>
      <c r="I31" s="1522"/>
      <c r="J31" s="1522"/>
      <c r="K31" s="1510"/>
      <c r="L31" s="1532"/>
      <c r="M31" s="1532"/>
      <c r="N31" s="1532"/>
      <c r="O31" s="1532"/>
      <c r="P31" s="1532"/>
      <c r="Q31" s="1532"/>
      <c r="R31" s="1510"/>
      <c r="S31" s="1532"/>
      <c r="T31" s="1522"/>
      <c r="U31" s="1513"/>
    </row>
    <row r="32" spans="1:21" ht="37.5">
      <c r="A32" s="1456"/>
      <c r="B32" s="1456"/>
      <c r="C32" s="1456"/>
      <c r="D32" s="1456"/>
      <c r="E32" s="205" t="s">
        <v>189</v>
      </c>
      <c r="F32" s="36">
        <f>10000*2</f>
        <v>20000</v>
      </c>
      <c r="G32" s="1528"/>
      <c r="H32" s="1508"/>
      <c r="I32" s="1522"/>
      <c r="J32" s="1522"/>
      <c r="K32" s="1510"/>
      <c r="L32" s="1532"/>
      <c r="M32" s="1532"/>
      <c r="N32" s="1532"/>
      <c r="O32" s="1532"/>
      <c r="P32" s="1532"/>
      <c r="Q32" s="1532"/>
      <c r="R32" s="1510"/>
      <c r="S32" s="1532"/>
      <c r="T32" s="1522"/>
      <c r="U32" s="1513"/>
    </row>
    <row r="33" spans="1:21" ht="56.25">
      <c r="A33" s="1456"/>
      <c r="B33" s="1456"/>
      <c r="C33" s="1456"/>
      <c r="D33" s="1456"/>
      <c r="E33" s="205" t="s">
        <v>1426</v>
      </c>
      <c r="F33" s="36"/>
      <c r="G33" s="1528"/>
      <c r="H33" s="1508"/>
      <c r="I33" s="1522"/>
      <c r="J33" s="1522"/>
      <c r="K33" s="1510"/>
      <c r="L33" s="1532"/>
      <c r="M33" s="1532"/>
      <c r="N33" s="1532"/>
      <c r="O33" s="1532"/>
      <c r="P33" s="1532"/>
      <c r="Q33" s="1532"/>
      <c r="R33" s="1510"/>
      <c r="S33" s="1532"/>
      <c r="T33" s="1522"/>
      <c r="U33" s="1513"/>
    </row>
    <row r="34" spans="1:21" ht="37.5">
      <c r="A34" s="1456"/>
      <c r="B34" s="1456"/>
      <c r="C34" s="1456"/>
      <c r="D34" s="1456"/>
      <c r="E34" s="205" t="s">
        <v>190</v>
      </c>
      <c r="F34" s="36">
        <f>3*6*200*2</f>
        <v>7200</v>
      </c>
      <c r="G34" s="1528"/>
      <c r="H34" s="1508"/>
      <c r="I34" s="1522"/>
      <c r="J34" s="1522"/>
      <c r="K34" s="1510"/>
      <c r="L34" s="1532"/>
      <c r="M34" s="1532"/>
      <c r="N34" s="1532"/>
      <c r="O34" s="1532"/>
      <c r="P34" s="1532"/>
      <c r="Q34" s="1532"/>
      <c r="R34" s="1510"/>
      <c r="S34" s="1532"/>
      <c r="T34" s="1522"/>
      <c r="U34" s="1513"/>
    </row>
    <row r="35" spans="1:21" ht="37.5">
      <c r="A35" s="1456"/>
      <c r="B35" s="1456"/>
      <c r="C35" s="1456"/>
      <c r="D35" s="1456"/>
      <c r="E35" s="205" t="s">
        <v>191</v>
      </c>
      <c r="F35" s="36">
        <f>2*6*420*2</f>
        <v>10080</v>
      </c>
      <c r="G35" s="1528"/>
      <c r="H35" s="1508"/>
      <c r="I35" s="1522"/>
      <c r="J35" s="1522"/>
      <c r="K35" s="1510"/>
      <c r="L35" s="1532"/>
      <c r="M35" s="1532"/>
      <c r="N35" s="1532"/>
      <c r="O35" s="1532"/>
      <c r="P35" s="1532"/>
      <c r="Q35" s="1532"/>
      <c r="R35" s="1510"/>
      <c r="S35" s="1532"/>
      <c r="T35" s="1522"/>
      <c r="U35" s="1513"/>
    </row>
    <row r="36" spans="1:21">
      <c r="A36" s="1457"/>
      <c r="B36" s="1457"/>
      <c r="C36" s="1457"/>
      <c r="D36" s="1457"/>
      <c r="E36" s="287" t="s">
        <v>4</v>
      </c>
      <c r="F36" s="37">
        <f>SUM(F28:F35)</f>
        <v>243680</v>
      </c>
      <c r="G36" s="1529"/>
      <c r="H36" s="1520"/>
      <c r="I36" s="1523"/>
      <c r="J36" s="1523"/>
      <c r="K36" s="1511"/>
      <c r="L36" s="1533"/>
      <c r="M36" s="1533"/>
      <c r="N36" s="1533"/>
      <c r="O36" s="1533"/>
      <c r="P36" s="1533"/>
      <c r="Q36" s="1533"/>
      <c r="R36" s="1511"/>
      <c r="S36" s="1533"/>
      <c r="T36" s="1523"/>
      <c r="U36" s="1530"/>
    </row>
    <row r="37" spans="1:21">
      <c r="A37" s="1437" t="s">
        <v>192</v>
      </c>
      <c r="B37" s="1440" t="s">
        <v>193</v>
      </c>
      <c r="C37" s="1437" t="s">
        <v>194</v>
      </c>
      <c r="D37" s="1440" t="s">
        <v>195</v>
      </c>
      <c r="E37" s="202"/>
      <c r="F37" s="41"/>
      <c r="G37" s="1504" t="s">
        <v>77</v>
      </c>
      <c r="H37" s="1507" t="s">
        <v>196</v>
      </c>
      <c r="I37" s="1509"/>
      <c r="J37" s="1509"/>
      <c r="K37" s="1509"/>
      <c r="L37" s="1509"/>
      <c r="M37" s="1509"/>
      <c r="N37" s="1509"/>
      <c r="O37" s="1509"/>
      <c r="P37" s="1509"/>
      <c r="Q37" s="1509"/>
      <c r="R37" s="1509"/>
      <c r="S37" s="1509"/>
      <c r="T37" s="1509"/>
      <c r="U37" s="1512" t="s">
        <v>160</v>
      </c>
    </row>
    <row r="38" spans="1:21">
      <c r="A38" s="1438"/>
      <c r="B38" s="1440"/>
      <c r="C38" s="1438"/>
      <c r="D38" s="1440"/>
      <c r="E38" s="210"/>
      <c r="F38" s="41"/>
      <c r="G38" s="1505"/>
      <c r="H38" s="1508"/>
      <c r="I38" s="1510"/>
      <c r="J38" s="1510"/>
      <c r="K38" s="1510"/>
      <c r="L38" s="1510"/>
      <c r="M38" s="1510"/>
      <c r="N38" s="1510"/>
      <c r="O38" s="1510"/>
      <c r="P38" s="1510"/>
      <c r="Q38" s="1510"/>
      <c r="R38" s="1510"/>
      <c r="S38" s="1510"/>
      <c r="T38" s="1510"/>
      <c r="U38" s="1513"/>
    </row>
    <row r="39" spans="1:21">
      <c r="A39" s="1438"/>
      <c r="B39" s="1440"/>
      <c r="C39" s="1438"/>
      <c r="D39" s="1440"/>
      <c r="E39" s="210"/>
      <c r="F39" s="41"/>
      <c r="G39" s="1505"/>
      <c r="H39" s="1508"/>
      <c r="I39" s="1510"/>
      <c r="J39" s="1510"/>
      <c r="K39" s="1510"/>
      <c r="L39" s="1510"/>
      <c r="M39" s="1510"/>
      <c r="N39" s="1510"/>
      <c r="O39" s="1510"/>
      <c r="P39" s="1510"/>
      <c r="Q39" s="1510"/>
      <c r="R39" s="1510"/>
      <c r="S39" s="1510"/>
      <c r="T39" s="1510"/>
      <c r="U39" s="1513"/>
    </row>
    <row r="40" spans="1:21">
      <c r="A40" s="1438"/>
      <c r="B40" s="1440"/>
      <c r="C40" s="1438"/>
      <c r="D40" s="1440"/>
      <c r="E40" s="214"/>
      <c r="F40" s="41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>
      <c r="A41" s="1439"/>
      <c r="B41" s="1440"/>
      <c r="C41" s="1439"/>
      <c r="D41" s="1440"/>
      <c r="E41" s="279"/>
      <c r="F41" s="51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1437" t="s">
        <v>197</v>
      </c>
      <c r="B42" s="1440" t="s">
        <v>198</v>
      </c>
      <c r="C42" s="1437" t="s">
        <v>199</v>
      </c>
      <c r="D42" s="1440" t="s">
        <v>200</v>
      </c>
      <c r="E42" s="337" t="s">
        <v>201</v>
      </c>
      <c r="F42" s="43"/>
      <c r="G42" s="1504"/>
      <c r="H42" s="1507" t="s">
        <v>202</v>
      </c>
      <c r="I42" s="1509"/>
      <c r="J42" s="1509"/>
      <c r="K42" s="1509"/>
      <c r="L42" s="1509"/>
      <c r="M42" s="1509"/>
      <c r="N42" s="1509"/>
      <c r="O42" s="1509"/>
      <c r="P42" s="1509"/>
      <c r="Q42" s="1509"/>
      <c r="R42" s="1509"/>
      <c r="S42" s="1509"/>
      <c r="T42" s="1509"/>
      <c r="U42" s="1512" t="s">
        <v>160</v>
      </c>
    </row>
    <row r="43" spans="1:21">
      <c r="A43" s="1438"/>
      <c r="B43" s="1440"/>
      <c r="C43" s="1438"/>
      <c r="D43" s="1440"/>
      <c r="E43" s="339"/>
      <c r="F43" s="55"/>
      <c r="G43" s="1505"/>
      <c r="H43" s="1508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3"/>
    </row>
    <row r="44" spans="1:21">
      <c r="A44" s="1438"/>
      <c r="B44" s="1440"/>
      <c r="C44" s="1438"/>
      <c r="D44" s="1440"/>
      <c r="E44" s="339"/>
      <c r="F44" s="55"/>
      <c r="G44" s="1505"/>
      <c r="H44" s="1508"/>
      <c r="I44" s="1510"/>
      <c r="J44" s="1510"/>
      <c r="K44" s="1510"/>
      <c r="L44" s="1510"/>
      <c r="M44" s="1510"/>
      <c r="N44" s="1510"/>
      <c r="O44" s="1510"/>
      <c r="P44" s="1510"/>
      <c r="Q44" s="1510"/>
      <c r="R44" s="1510"/>
      <c r="S44" s="1510"/>
      <c r="T44" s="1510"/>
      <c r="U44" s="1513"/>
    </row>
    <row r="45" spans="1:21">
      <c r="A45" s="1437" t="s">
        <v>203</v>
      </c>
      <c r="B45" s="1440" t="s">
        <v>204</v>
      </c>
      <c r="C45" s="1437" t="s">
        <v>205</v>
      </c>
      <c r="D45" s="1440" t="s">
        <v>206</v>
      </c>
      <c r="E45" s="337" t="s">
        <v>207</v>
      </c>
      <c r="F45" s="43"/>
      <c r="G45" s="1504"/>
      <c r="H45" s="1507" t="s">
        <v>202</v>
      </c>
      <c r="I45" s="1509"/>
      <c r="J45" s="1509"/>
      <c r="K45" s="1509"/>
      <c r="L45" s="1509"/>
      <c r="M45" s="1509"/>
      <c r="N45" s="1509"/>
      <c r="O45" s="1509"/>
      <c r="P45" s="1509"/>
      <c r="Q45" s="1509"/>
      <c r="R45" s="1509"/>
      <c r="S45" s="1509"/>
      <c r="T45" s="1509"/>
      <c r="U45" s="1512" t="s">
        <v>160</v>
      </c>
    </row>
    <row r="46" spans="1:21">
      <c r="A46" s="1438"/>
      <c r="B46" s="1440"/>
      <c r="C46" s="1438"/>
      <c r="D46" s="1440"/>
      <c r="E46" s="339"/>
      <c r="F46" s="55"/>
      <c r="G46" s="1505"/>
      <c r="H46" s="1508"/>
      <c r="I46" s="1510"/>
      <c r="J46" s="1510"/>
      <c r="K46" s="1510"/>
      <c r="L46" s="1510"/>
      <c r="M46" s="1510"/>
      <c r="N46" s="1510"/>
      <c r="O46" s="1510"/>
      <c r="P46" s="1510"/>
      <c r="Q46" s="1510"/>
      <c r="R46" s="1510"/>
      <c r="S46" s="1510"/>
      <c r="T46" s="1510"/>
      <c r="U46" s="1513"/>
    </row>
    <row r="47" spans="1:21">
      <c r="A47" s="1439"/>
      <c r="B47" s="1440"/>
      <c r="C47" s="1439"/>
      <c r="D47" s="1440"/>
      <c r="E47" s="214"/>
      <c r="F47" s="45"/>
      <c r="G47" s="1506"/>
      <c r="H47" s="1520"/>
      <c r="I47" s="1511"/>
      <c r="J47" s="1511"/>
      <c r="K47" s="1511"/>
      <c r="L47" s="1511"/>
      <c r="M47" s="1511"/>
      <c r="N47" s="1511"/>
      <c r="O47" s="1511"/>
      <c r="P47" s="1511"/>
      <c r="Q47" s="1511"/>
      <c r="R47" s="1511"/>
      <c r="S47" s="1511"/>
      <c r="T47" s="1511"/>
      <c r="U47" s="1530"/>
    </row>
    <row r="48" spans="1:21" ht="56.25">
      <c r="E48" s="355" t="s">
        <v>139</v>
      </c>
      <c r="F48" s="56">
        <f>F9+F13+F18+F23+F27+F36+F41</f>
        <v>368480</v>
      </c>
      <c r="G48" s="57"/>
      <c r="H48" s="57"/>
      <c r="I48" s="53">
        <f t="shared" ref="I48:T48" si="0">SUM(I6:I36)</f>
        <v>4900</v>
      </c>
      <c r="J48" s="53">
        <f t="shared" si="0"/>
        <v>38300</v>
      </c>
      <c r="K48" s="53">
        <f t="shared" si="0"/>
        <v>126640</v>
      </c>
      <c r="L48" s="53">
        <f t="shared" si="0"/>
        <v>4800</v>
      </c>
      <c r="M48" s="53">
        <f t="shared" si="0"/>
        <v>4800</v>
      </c>
      <c r="N48" s="53">
        <f t="shared" si="0"/>
        <v>4800</v>
      </c>
      <c r="O48" s="53">
        <f t="shared" si="0"/>
        <v>38200</v>
      </c>
      <c r="P48" s="53">
        <f t="shared" si="0"/>
        <v>4800</v>
      </c>
      <c r="Q48" s="53">
        <f t="shared" si="0"/>
        <v>4800</v>
      </c>
      <c r="R48" s="53">
        <f t="shared" si="0"/>
        <v>123240</v>
      </c>
      <c r="S48" s="53">
        <f t="shared" si="0"/>
        <v>4900</v>
      </c>
      <c r="T48" s="53">
        <f t="shared" si="0"/>
        <v>4900</v>
      </c>
      <c r="U48" s="58"/>
    </row>
    <row r="49" spans="6:6">
      <c r="F49" s="59">
        <f>F18+F23+F27</f>
        <v>0</v>
      </c>
    </row>
  </sheetData>
  <mergeCells count="194">
    <mergeCell ref="S45:S47"/>
    <mergeCell ref="M42:M44"/>
    <mergeCell ref="N42:N44"/>
    <mergeCell ref="U42:U44"/>
    <mergeCell ref="O42:O44"/>
    <mergeCell ref="P42:P44"/>
    <mergeCell ref="Q42:Q44"/>
    <mergeCell ref="R42:R44"/>
    <mergeCell ref="S42:S44"/>
    <mergeCell ref="T42:T44"/>
    <mergeCell ref="T45:T47"/>
    <mergeCell ref="U45:U47"/>
    <mergeCell ref="L45:L47"/>
    <mergeCell ref="M45:M47"/>
    <mergeCell ref="N45:N47"/>
    <mergeCell ref="O45:O47"/>
    <mergeCell ref="P45:P47"/>
    <mergeCell ref="M28:M36"/>
    <mergeCell ref="N28:N36"/>
    <mergeCell ref="Q45:Q47"/>
    <mergeCell ref="R45:R47"/>
    <mergeCell ref="A37:A41"/>
    <mergeCell ref="B37:B41"/>
    <mergeCell ref="C37:C41"/>
    <mergeCell ref="D37:D41"/>
    <mergeCell ref="G37:G39"/>
    <mergeCell ref="H37:H39"/>
    <mergeCell ref="L42:L44"/>
    <mergeCell ref="J28:J36"/>
    <mergeCell ref="K28:K36"/>
    <mergeCell ref="L28:L36"/>
    <mergeCell ref="I45:I47"/>
    <mergeCell ref="J45:J47"/>
    <mergeCell ref="K45:K47"/>
    <mergeCell ref="I42:I44"/>
    <mergeCell ref="J42:J44"/>
    <mergeCell ref="K42:K44"/>
    <mergeCell ref="A45:A47"/>
    <mergeCell ref="B45:B47"/>
    <mergeCell ref="C45:C47"/>
    <mergeCell ref="D45:D47"/>
    <mergeCell ref="G45:G47"/>
    <mergeCell ref="H45:H47"/>
    <mergeCell ref="A42:A44"/>
    <mergeCell ref="B42:B44"/>
    <mergeCell ref="C42:C44"/>
    <mergeCell ref="D42:D44"/>
    <mergeCell ref="G42:G44"/>
    <mergeCell ref="H42:H44"/>
    <mergeCell ref="S37:S39"/>
    <mergeCell ref="T37:T39"/>
    <mergeCell ref="U37:U39"/>
    <mergeCell ref="O37:O39"/>
    <mergeCell ref="P37:P39"/>
    <mergeCell ref="Q37:Q39"/>
    <mergeCell ref="I37:I39"/>
    <mergeCell ref="J37:J39"/>
    <mergeCell ref="K37:K39"/>
    <mergeCell ref="R37:R39"/>
    <mergeCell ref="L37:L39"/>
    <mergeCell ref="M37:M39"/>
    <mergeCell ref="N37:N39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K6:K8"/>
    <mergeCell ref="L6:L8"/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zoomScale="80" zoomScaleNormal="80" zoomScaleSheetLayoutView="80" workbookViewId="0">
      <selection activeCell="H2" sqref="H1:U65536"/>
    </sheetView>
  </sheetViews>
  <sheetFormatPr defaultColWidth="9" defaultRowHeight="18"/>
  <cols>
    <col min="1" max="5" width="22.75" style="74" customWidth="1"/>
    <col min="6" max="6" width="8.75" style="74" bestFit="1" customWidth="1"/>
    <col min="7" max="7" width="5.75" style="74" customWidth="1"/>
    <col min="8" max="8" width="7.875" style="74" customWidth="1"/>
    <col min="9" max="20" width="4" style="74" customWidth="1"/>
    <col min="21" max="21" width="5.375" style="74" customWidth="1"/>
    <col min="22" max="16384" width="9" style="74"/>
  </cols>
  <sheetData>
    <row r="1" spans="1:21" ht="24">
      <c r="A1" s="1434" t="s">
        <v>447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</row>
    <row r="2" spans="1:21" ht="24">
      <c r="A2" s="1435" t="s">
        <v>448</v>
      </c>
      <c r="B2" s="1435"/>
      <c r="C2" s="1435"/>
      <c r="D2" s="1435"/>
      <c r="E2" s="236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21.75">
      <c r="A3" s="1534" t="s">
        <v>44</v>
      </c>
      <c r="B3" s="1436" t="s">
        <v>45</v>
      </c>
      <c r="C3" s="1436" t="s">
        <v>46</v>
      </c>
      <c r="D3" s="1436" t="s">
        <v>47</v>
      </c>
      <c r="E3" s="1436" t="s">
        <v>48</v>
      </c>
      <c r="F3" s="1436"/>
      <c r="G3" s="1436"/>
      <c r="H3" s="1436" t="s">
        <v>49</v>
      </c>
      <c r="I3" s="1436" t="s">
        <v>50</v>
      </c>
      <c r="J3" s="1436"/>
      <c r="K3" s="1436"/>
      <c r="L3" s="1436"/>
      <c r="M3" s="1436"/>
      <c r="N3" s="1436"/>
      <c r="O3" s="1436"/>
      <c r="P3" s="1436"/>
      <c r="Q3" s="1436"/>
      <c r="R3" s="1436"/>
      <c r="S3" s="1436"/>
      <c r="T3" s="1436"/>
      <c r="U3" s="1534" t="s">
        <v>153</v>
      </c>
    </row>
    <row r="4" spans="1:21" ht="14.25" customHeight="1">
      <c r="A4" s="1535"/>
      <c r="B4" s="1436"/>
      <c r="C4" s="1436"/>
      <c r="D4" s="1436"/>
      <c r="E4" s="1534" t="s">
        <v>52</v>
      </c>
      <c r="F4" s="1537" t="s">
        <v>53</v>
      </c>
      <c r="G4" s="1539" t="s">
        <v>54</v>
      </c>
      <c r="H4" s="1436"/>
      <c r="I4" s="1436" t="s">
        <v>55</v>
      </c>
      <c r="J4" s="1436" t="s">
        <v>56</v>
      </c>
      <c r="K4" s="1436" t="s">
        <v>57</v>
      </c>
      <c r="L4" s="1436" t="s">
        <v>58</v>
      </c>
      <c r="M4" s="1436" t="s">
        <v>59</v>
      </c>
      <c r="N4" s="1436" t="s">
        <v>60</v>
      </c>
      <c r="O4" s="1436" t="s">
        <v>61</v>
      </c>
      <c r="P4" s="1436" t="s">
        <v>62</v>
      </c>
      <c r="Q4" s="1436" t="s">
        <v>63</v>
      </c>
      <c r="R4" s="1436" t="s">
        <v>64</v>
      </c>
      <c r="S4" s="1436" t="s">
        <v>65</v>
      </c>
      <c r="T4" s="1436" t="s">
        <v>66</v>
      </c>
      <c r="U4" s="1535"/>
    </row>
    <row r="5" spans="1:21" ht="21.75" customHeight="1">
      <c r="A5" s="1536"/>
      <c r="B5" s="1436"/>
      <c r="C5" s="1436"/>
      <c r="D5" s="1436"/>
      <c r="E5" s="1536"/>
      <c r="F5" s="1538"/>
      <c r="G5" s="1539"/>
      <c r="H5" s="1436"/>
      <c r="I5" s="1436"/>
      <c r="J5" s="1436"/>
      <c r="K5" s="1436"/>
      <c r="L5" s="1436"/>
      <c r="M5" s="1436"/>
      <c r="N5" s="1436"/>
      <c r="O5" s="1436"/>
      <c r="P5" s="1436"/>
      <c r="Q5" s="1436"/>
      <c r="R5" s="1436"/>
      <c r="S5" s="1436"/>
      <c r="T5" s="1436"/>
      <c r="U5" s="1536"/>
    </row>
    <row r="6" spans="1:21" s="29" customFormat="1" ht="75">
      <c r="A6" s="1455" t="s">
        <v>449</v>
      </c>
      <c r="B6" s="319" t="s">
        <v>450</v>
      </c>
      <c r="C6" s="319" t="s">
        <v>451</v>
      </c>
      <c r="D6" s="1455" t="s">
        <v>452</v>
      </c>
      <c r="E6" s="202" t="s">
        <v>453</v>
      </c>
      <c r="F6" s="203">
        <v>24000</v>
      </c>
      <c r="G6" s="295" t="s">
        <v>454</v>
      </c>
      <c r="H6" s="483"/>
      <c r="I6" s="324"/>
      <c r="J6" s="484">
        <v>4000</v>
      </c>
      <c r="K6" s="484">
        <v>3000</v>
      </c>
      <c r="L6" s="484">
        <v>4000</v>
      </c>
      <c r="M6" s="484">
        <v>3000</v>
      </c>
      <c r="N6" s="484">
        <v>4000</v>
      </c>
      <c r="O6" s="484">
        <v>4000</v>
      </c>
      <c r="P6" s="484">
        <v>4000</v>
      </c>
      <c r="Q6" s="484">
        <v>4000</v>
      </c>
      <c r="R6" s="484">
        <v>3000</v>
      </c>
      <c r="S6" s="484">
        <v>4000</v>
      </c>
      <c r="T6" s="484">
        <v>4000</v>
      </c>
      <c r="U6" s="485" t="s">
        <v>455</v>
      </c>
    </row>
    <row r="7" spans="1:21" s="29" customFormat="1" ht="56.25">
      <c r="A7" s="1456"/>
      <c r="B7" s="329"/>
      <c r="C7" s="329"/>
      <c r="D7" s="1456"/>
      <c r="E7" s="202" t="s">
        <v>456</v>
      </c>
      <c r="F7" s="203">
        <v>12000</v>
      </c>
      <c r="G7" s="293"/>
      <c r="H7" s="294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31"/>
    </row>
    <row r="8" spans="1:21" s="29" customFormat="1" ht="193.5" customHeight="1">
      <c r="A8" s="1456"/>
      <c r="B8" s="329"/>
      <c r="C8" s="329"/>
      <c r="D8" s="329"/>
      <c r="E8" s="210" t="s">
        <v>457</v>
      </c>
      <c r="F8" s="203">
        <v>5000</v>
      </c>
      <c r="G8" s="317"/>
      <c r="H8" s="48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18"/>
    </row>
    <row r="9" spans="1:21" s="29" customFormat="1" ht="18.75">
      <c r="A9" s="307"/>
      <c r="B9" s="307"/>
      <c r="C9" s="307"/>
      <c r="D9" s="307"/>
      <c r="E9" s="279" t="s">
        <v>4</v>
      </c>
      <c r="F9" s="280">
        <f>SUM(F6:F8)</f>
        <v>41000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42.75" customHeight="1">
      <c r="A10" s="1452" t="s">
        <v>458</v>
      </c>
      <c r="B10" s="319"/>
      <c r="C10" s="319"/>
      <c r="D10" s="1455" t="s">
        <v>459</v>
      </c>
      <c r="E10" s="202" t="s">
        <v>460</v>
      </c>
      <c r="F10" s="203">
        <v>6400</v>
      </c>
      <c r="G10" s="1441" t="s">
        <v>454</v>
      </c>
      <c r="H10" s="483"/>
      <c r="I10" s="484"/>
      <c r="J10" s="484"/>
      <c r="K10" s="484"/>
      <c r="L10" s="484"/>
      <c r="M10" s="484"/>
      <c r="N10" s="1540">
        <v>3600</v>
      </c>
      <c r="O10" s="484"/>
      <c r="P10" s="1540">
        <v>3600</v>
      </c>
      <c r="Q10" s="484"/>
      <c r="R10" s="484"/>
      <c r="S10" s="1540">
        <v>2400</v>
      </c>
      <c r="T10" s="484"/>
      <c r="U10" s="485" t="s">
        <v>461</v>
      </c>
    </row>
    <row r="11" spans="1:21" s="29" customFormat="1" ht="56.25">
      <c r="A11" s="1453"/>
      <c r="B11" s="329"/>
      <c r="C11" s="329"/>
      <c r="D11" s="1456"/>
      <c r="E11" s="202" t="s">
        <v>462</v>
      </c>
      <c r="F11" s="203">
        <v>3200</v>
      </c>
      <c r="G11" s="1471"/>
      <c r="H11" s="294"/>
      <c r="I11" s="487"/>
      <c r="J11" s="487"/>
      <c r="K11" s="487"/>
      <c r="L11" s="487"/>
      <c r="M11" s="487"/>
      <c r="N11" s="1541"/>
      <c r="O11" s="487"/>
      <c r="P11" s="1541"/>
      <c r="Q11" s="487"/>
      <c r="R11" s="487"/>
      <c r="S11" s="1541"/>
      <c r="T11" s="487"/>
      <c r="U11" s="331"/>
    </row>
    <row r="12" spans="1:21" s="29" customFormat="1" ht="18.75">
      <c r="A12" s="1454"/>
      <c r="B12" s="307"/>
      <c r="C12" s="307"/>
      <c r="D12" s="1457"/>
      <c r="E12" s="279" t="s">
        <v>4</v>
      </c>
      <c r="F12" s="280">
        <f>SUM(F10:F11)</f>
        <v>9600</v>
      </c>
      <c r="G12" s="281"/>
      <c r="H12" s="281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281"/>
    </row>
    <row r="13" spans="1:21" s="29" customFormat="1" ht="33" customHeight="1">
      <c r="A13" s="1452" t="s">
        <v>463</v>
      </c>
      <c r="B13" s="319"/>
      <c r="C13" s="319"/>
      <c r="D13" s="1455" t="s">
        <v>464</v>
      </c>
      <c r="E13" s="202" t="s">
        <v>465</v>
      </c>
      <c r="F13" s="321">
        <v>4000</v>
      </c>
      <c r="G13" s="1542" t="s">
        <v>454</v>
      </c>
      <c r="H13" s="284"/>
      <c r="I13" s="488"/>
      <c r="J13" s="488"/>
      <c r="K13" s="488"/>
      <c r="L13" s="488"/>
      <c r="M13" s="488"/>
      <c r="N13" s="488"/>
      <c r="O13" s="488"/>
      <c r="P13" s="488"/>
      <c r="Q13" s="1544">
        <v>6000</v>
      </c>
      <c r="R13" s="488"/>
      <c r="S13" s="488"/>
      <c r="T13" s="488"/>
      <c r="U13" s="284" t="s">
        <v>466</v>
      </c>
    </row>
    <row r="14" spans="1:21" s="29" customFormat="1" ht="56.25">
      <c r="A14" s="1453"/>
      <c r="B14" s="329"/>
      <c r="C14" s="329"/>
      <c r="D14" s="1456"/>
      <c r="E14" s="202" t="s">
        <v>467</v>
      </c>
      <c r="F14" s="321">
        <v>2000</v>
      </c>
      <c r="G14" s="1543"/>
      <c r="H14" s="284"/>
      <c r="I14" s="488"/>
      <c r="J14" s="488"/>
      <c r="K14" s="488"/>
      <c r="L14" s="488"/>
      <c r="M14" s="488"/>
      <c r="N14" s="488"/>
      <c r="O14" s="488"/>
      <c r="P14" s="488"/>
      <c r="Q14" s="1545"/>
      <c r="R14" s="488"/>
      <c r="S14" s="488"/>
      <c r="T14" s="488"/>
      <c r="U14" s="284"/>
    </row>
    <row r="15" spans="1:21" s="29" customFormat="1" ht="18.75">
      <c r="A15" s="1454"/>
      <c r="B15" s="307"/>
      <c r="C15" s="307"/>
      <c r="D15" s="1457"/>
      <c r="E15" s="279" t="s">
        <v>4</v>
      </c>
      <c r="F15" s="280">
        <f>SUM(F13:F14)</f>
        <v>6000</v>
      </c>
      <c r="G15" s="284"/>
      <c r="H15" s="284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284"/>
    </row>
    <row r="16" spans="1:21" s="29" customFormat="1" ht="33" customHeight="1">
      <c r="A16" s="1453" t="s">
        <v>468</v>
      </c>
      <c r="B16" s="329"/>
      <c r="C16" s="329"/>
      <c r="D16" s="1455" t="s">
        <v>469</v>
      </c>
      <c r="E16" s="202" t="s">
        <v>470</v>
      </c>
      <c r="F16" s="321">
        <v>8000</v>
      </c>
      <c r="G16" s="1441" t="s">
        <v>454</v>
      </c>
      <c r="H16" s="483"/>
      <c r="I16" s="489"/>
      <c r="J16" s="1478">
        <v>12000</v>
      </c>
      <c r="K16" s="484"/>
      <c r="L16" s="489"/>
      <c r="M16" s="489"/>
      <c r="N16" s="489"/>
      <c r="O16" s="489"/>
      <c r="P16" s="489"/>
      <c r="Q16" s="489"/>
      <c r="R16" s="484"/>
      <c r="S16" s="489"/>
      <c r="T16" s="489"/>
      <c r="U16" s="330" t="s">
        <v>466</v>
      </c>
    </row>
    <row r="17" spans="1:21" s="29" customFormat="1" ht="56.25">
      <c r="A17" s="1453"/>
      <c r="B17" s="329"/>
      <c r="C17" s="329"/>
      <c r="D17" s="1456"/>
      <c r="E17" s="202" t="s">
        <v>471</v>
      </c>
      <c r="F17" s="321">
        <v>4000</v>
      </c>
      <c r="G17" s="1442"/>
      <c r="H17" s="294"/>
      <c r="I17" s="490"/>
      <c r="J17" s="1479"/>
      <c r="K17" s="487"/>
      <c r="L17" s="490"/>
      <c r="M17" s="490"/>
      <c r="N17" s="490"/>
      <c r="O17" s="490"/>
      <c r="P17" s="490"/>
      <c r="Q17" s="490"/>
      <c r="R17" s="487"/>
      <c r="S17" s="490"/>
      <c r="T17" s="490"/>
      <c r="U17" s="331"/>
    </row>
    <row r="18" spans="1:21" s="29" customFormat="1" ht="23.25" customHeight="1">
      <c r="A18" s="313"/>
      <c r="B18" s="307"/>
      <c r="C18" s="307"/>
      <c r="D18" s="1457"/>
      <c r="E18" s="279" t="s">
        <v>4</v>
      </c>
      <c r="F18" s="280">
        <f>SUM(F16:F17)</f>
        <v>12000</v>
      </c>
      <c r="G18" s="293"/>
      <c r="H18" s="294"/>
      <c r="I18" s="490"/>
      <c r="J18" s="490"/>
      <c r="K18" s="487"/>
      <c r="L18" s="490"/>
      <c r="M18" s="490"/>
      <c r="N18" s="490"/>
      <c r="O18" s="490"/>
      <c r="P18" s="490"/>
      <c r="Q18" s="490"/>
      <c r="R18" s="487"/>
      <c r="S18" s="490"/>
      <c r="T18" s="490"/>
      <c r="U18" s="331"/>
    </row>
    <row r="19" spans="1:21" s="29" customFormat="1" ht="50.25" customHeight="1">
      <c r="A19" s="491"/>
      <c r="B19" s="491"/>
      <c r="C19" s="491"/>
      <c r="D19" s="492"/>
      <c r="E19" s="355" t="s">
        <v>139</v>
      </c>
      <c r="F19" s="356">
        <f>F9+F12+F15+F18</f>
        <v>68600</v>
      </c>
      <c r="G19" s="291"/>
      <c r="H19" s="291"/>
      <c r="I19" s="282">
        <f t="shared" ref="I19:T19" si="0">SUM(I6:I18)</f>
        <v>0</v>
      </c>
      <c r="J19" s="316">
        <f t="shared" si="0"/>
        <v>16000</v>
      </c>
      <c r="K19" s="316">
        <f t="shared" si="0"/>
        <v>3000</v>
      </c>
      <c r="L19" s="316">
        <f t="shared" si="0"/>
        <v>4000</v>
      </c>
      <c r="M19" s="316">
        <f t="shared" si="0"/>
        <v>3000</v>
      </c>
      <c r="N19" s="316">
        <f t="shared" si="0"/>
        <v>7600</v>
      </c>
      <c r="O19" s="316">
        <f t="shared" si="0"/>
        <v>4000</v>
      </c>
      <c r="P19" s="316">
        <f t="shared" si="0"/>
        <v>7600</v>
      </c>
      <c r="Q19" s="316">
        <f t="shared" si="0"/>
        <v>10000</v>
      </c>
      <c r="R19" s="316">
        <f t="shared" si="0"/>
        <v>3000</v>
      </c>
      <c r="S19" s="316">
        <f t="shared" si="0"/>
        <v>6400</v>
      </c>
      <c r="T19" s="316">
        <f t="shared" si="0"/>
        <v>4000</v>
      </c>
      <c r="U19" s="493"/>
    </row>
    <row r="21" spans="1:21" ht="21.75">
      <c r="A21" s="143" t="s">
        <v>140</v>
      </c>
      <c r="B21" s="1494" t="s">
        <v>141</v>
      </c>
      <c r="C21" s="1494"/>
      <c r="D21" s="1494"/>
      <c r="E21" s="1494"/>
    </row>
  </sheetData>
  <mergeCells count="42"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C1" workbookViewId="0">
      <selection activeCell="H2" sqref="H1:U65536"/>
    </sheetView>
  </sheetViews>
  <sheetFormatPr defaultRowHeight="14.25"/>
  <cols>
    <col min="1" max="5" width="22.75" customWidth="1"/>
    <col min="6" max="6" width="7.125" bestFit="1" customWidth="1"/>
    <col min="7" max="7" width="7.875" bestFit="1" customWidth="1"/>
    <col min="8" max="8" width="9.375" customWidth="1"/>
    <col min="9" max="20" width="4" customWidth="1"/>
    <col min="21" max="21" width="5.75" customWidth="1"/>
  </cols>
  <sheetData>
    <row r="1" spans="1:21" ht="24">
      <c r="A1" s="1434" t="s">
        <v>41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</row>
    <row r="2" spans="1:21" ht="24">
      <c r="A2" s="1435" t="s">
        <v>395</v>
      </c>
      <c r="B2" s="1435"/>
      <c r="C2" s="1435"/>
      <c r="D2" s="1435"/>
      <c r="E2" s="28"/>
    </row>
    <row r="3" spans="1:21" ht="21.75">
      <c r="A3" s="1534" t="s">
        <v>44</v>
      </c>
      <c r="B3" s="1436" t="s">
        <v>45</v>
      </c>
      <c r="C3" s="1436" t="s">
        <v>46</v>
      </c>
      <c r="D3" s="1436" t="s">
        <v>47</v>
      </c>
      <c r="E3" s="1436" t="s">
        <v>48</v>
      </c>
      <c r="F3" s="1436"/>
      <c r="G3" s="1436"/>
      <c r="H3" s="1436" t="s">
        <v>1424</v>
      </c>
      <c r="I3" s="1436" t="s">
        <v>50</v>
      </c>
      <c r="J3" s="1436"/>
      <c r="K3" s="1436"/>
      <c r="L3" s="1436"/>
      <c r="M3" s="1436"/>
      <c r="N3" s="1436"/>
      <c r="O3" s="1436"/>
      <c r="P3" s="1436"/>
      <c r="Q3" s="1436"/>
      <c r="R3" s="1436"/>
      <c r="S3" s="1436"/>
      <c r="T3" s="1436"/>
      <c r="U3" s="1534" t="s">
        <v>396</v>
      </c>
    </row>
    <row r="4" spans="1:21" ht="14.25" customHeight="1">
      <c r="A4" s="1535"/>
      <c r="B4" s="1436"/>
      <c r="C4" s="1436"/>
      <c r="D4" s="1436"/>
      <c r="E4" s="1534" t="s">
        <v>52</v>
      </c>
      <c r="F4" s="1537" t="s">
        <v>53</v>
      </c>
      <c r="G4" s="1539" t="s">
        <v>54</v>
      </c>
      <c r="H4" s="1436"/>
      <c r="I4" s="1436" t="s">
        <v>55</v>
      </c>
      <c r="J4" s="1436" t="s">
        <v>56</v>
      </c>
      <c r="K4" s="1436" t="s">
        <v>57</v>
      </c>
      <c r="L4" s="1436" t="s">
        <v>58</v>
      </c>
      <c r="M4" s="1436" t="s">
        <v>59</v>
      </c>
      <c r="N4" s="1436" t="s">
        <v>60</v>
      </c>
      <c r="O4" s="1436" t="s">
        <v>61</v>
      </c>
      <c r="P4" s="1436" t="s">
        <v>62</v>
      </c>
      <c r="Q4" s="1436" t="s">
        <v>63</v>
      </c>
      <c r="R4" s="1436" t="s">
        <v>64</v>
      </c>
      <c r="S4" s="1436" t="s">
        <v>65</v>
      </c>
      <c r="T4" s="1436" t="s">
        <v>66</v>
      </c>
      <c r="U4" s="1535"/>
    </row>
    <row r="5" spans="1:21" ht="21.75" customHeight="1">
      <c r="A5" s="1536"/>
      <c r="B5" s="1436"/>
      <c r="C5" s="1436"/>
      <c r="D5" s="1436"/>
      <c r="E5" s="1536"/>
      <c r="F5" s="1538"/>
      <c r="G5" s="1539"/>
      <c r="H5" s="1436"/>
      <c r="I5" s="1436"/>
      <c r="J5" s="1436"/>
      <c r="K5" s="1436"/>
      <c r="L5" s="1436"/>
      <c r="M5" s="1436"/>
      <c r="N5" s="1436"/>
      <c r="O5" s="1436"/>
      <c r="P5" s="1436"/>
      <c r="Q5" s="1436"/>
      <c r="R5" s="1436"/>
      <c r="S5" s="1436"/>
      <c r="T5" s="1436"/>
      <c r="U5" s="1536"/>
    </row>
    <row r="6" spans="1:21" s="29" customFormat="1" ht="33.75" customHeight="1">
      <c r="A6" s="1437" t="s">
        <v>562</v>
      </c>
      <c r="B6" s="1440" t="s">
        <v>397</v>
      </c>
      <c r="C6" s="1437" t="s">
        <v>398</v>
      </c>
      <c r="D6" s="1440" t="s">
        <v>399</v>
      </c>
      <c r="E6" s="1546" t="s">
        <v>400</v>
      </c>
      <c r="F6" s="1549">
        <v>0</v>
      </c>
      <c r="G6" s="1527" t="s">
        <v>77</v>
      </c>
      <c r="H6" s="1493" t="s">
        <v>401</v>
      </c>
      <c r="I6" s="1446"/>
      <c r="J6" s="1446"/>
      <c r="K6" s="1446"/>
      <c r="L6" s="1446"/>
      <c r="M6" s="1446"/>
      <c r="N6" s="1446"/>
      <c r="O6" s="1552"/>
      <c r="P6" s="1446"/>
      <c r="Q6" s="1446"/>
      <c r="R6" s="1446"/>
      <c r="S6" s="1446"/>
      <c r="T6" s="1446"/>
      <c r="U6" s="1458" t="s">
        <v>402</v>
      </c>
    </row>
    <row r="7" spans="1:21" s="29" customFormat="1" ht="18.75">
      <c r="A7" s="1438"/>
      <c r="B7" s="1440"/>
      <c r="C7" s="1438"/>
      <c r="D7" s="1440"/>
      <c r="E7" s="1547"/>
      <c r="F7" s="1550"/>
      <c r="G7" s="1528"/>
      <c r="H7" s="1473"/>
      <c r="I7" s="1447"/>
      <c r="J7" s="1447"/>
      <c r="K7" s="1447"/>
      <c r="L7" s="1447"/>
      <c r="M7" s="1447"/>
      <c r="N7" s="1447"/>
      <c r="O7" s="1553"/>
      <c r="P7" s="1447"/>
      <c r="Q7" s="1447"/>
      <c r="R7" s="1447"/>
      <c r="S7" s="1447"/>
      <c r="T7" s="1447"/>
      <c r="U7" s="1459"/>
    </row>
    <row r="8" spans="1:21" s="29" customFormat="1" ht="18.75">
      <c r="A8" s="1438"/>
      <c r="B8" s="1440"/>
      <c r="C8" s="1438"/>
      <c r="D8" s="1440"/>
      <c r="E8" s="1548"/>
      <c r="F8" s="1551"/>
      <c r="G8" s="1529"/>
      <c r="H8" s="1473"/>
      <c r="I8" s="1447"/>
      <c r="J8" s="1447"/>
      <c r="K8" s="1448"/>
      <c r="L8" s="1448"/>
      <c r="M8" s="1448"/>
      <c r="N8" s="1448"/>
      <c r="O8" s="1554"/>
      <c r="P8" s="1448"/>
      <c r="Q8" s="1448"/>
      <c r="R8" s="1448"/>
      <c r="S8" s="1448"/>
      <c r="T8" s="1448"/>
      <c r="U8" s="1459"/>
    </row>
    <row r="9" spans="1:21" s="29" customFormat="1" ht="42.75" customHeight="1">
      <c r="A9" s="1439"/>
      <c r="B9" s="1440"/>
      <c r="C9" s="1439"/>
      <c r="D9" s="1440"/>
      <c r="E9" s="279" t="s">
        <v>4</v>
      </c>
      <c r="F9" s="280">
        <f>SUM(F6:F8)</f>
        <v>0</v>
      </c>
      <c r="G9" s="281"/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</row>
    <row r="10" spans="1:21" s="29" customFormat="1" ht="31.5" customHeight="1">
      <c r="A10" s="1452" t="s">
        <v>403</v>
      </c>
      <c r="B10" s="1455" t="s">
        <v>404</v>
      </c>
      <c r="C10" s="1455" t="s">
        <v>405</v>
      </c>
      <c r="D10" s="1440" t="s">
        <v>406</v>
      </c>
      <c r="E10" s="1546" t="s">
        <v>407</v>
      </c>
      <c r="F10" s="1549">
        <v>3600</v>
      </c>
      <c r="G10" s="1527" t="s">
        <v>77</v>
      </c>
      <c r="H10" s="1493" t="s">
        <v>401</v>
      </c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552">
        <v>3600</v>
      </c>
      <c r="T10" s="1446"/>
      <c r="U10" s="1458" t="s">
        <v>402</v>
      </c>
    </row>
    <row r="11" spans="1:21" s="29" customFormat="1" ht="18.75">
      <c r="A11" s="1453"/>
      <c r="B11" s="1456"/>
      <c r="C11" s="1456"/>
      <c r="D11" s="1440"/>
      <c r="E11" s="1547"/>
      <c r="F11" s="1550"/>
      <c r="G11" s="1528"/>
      <c r="H11" s="1473"/>
      <c r="I11" s="1447"/>
      <c r="J11" s="1447"/>
      <c r="K11" s="1447"/>
      <c r="L11" s="1447"/>
      <c r="M11" s="1447"/>
      <c r="N11" s="1447"/>
      <c r="O11" s="1447"/>
      <c r="P11" s="1447"/>
      <c r="Q11" s="1447"/>
      <c r="R11" s="1447"/>
      <c r="S11" s="1553"/>
      <c r="T11" s="1447"/>
      <c r="U11" s="1459"/>
    </row>
    <row r="12" spans="1:21" s="29" customFormat="1" ht="38.25" customHeight="1">
      <c r="A12" s="1453"/>
      <c r="B12" s="1456"/>
      <c r="C12" s="1456"/>
      <c r="D12" s="1440"/>
      <c r="E12" s="1548"/>
      <c r="F12" s="1551"/>
      <c r="G12" s="1529"/>
      <c r="H12" s="1473"/>
      <c r="I12" s="1447"/>
      <c r="J12" s="1447"/>
      <c r="K12" s="1447"/>
      <c r="L12" s="1447"/>
      <c r="M12" s="1447"/>
      <c r="N12" s="1447"/>
      <c r="O12" s="1447"/>
      <c r="P12" s="1447"/>
      <c r="Q12" s="1447"/>
      <c r="R12" s="1447"/>
      <c r="S12" s="1553"/>
      <c r="T12" s="1447"/>
      <c r="U12" s="1459"/>
    </row>
    <row r="13" spans="1:21" s="29" customFormat="1" ht="18.75">
      <c r="A13" s="1454"/>
      <c r="B13" s="1457"/>
      <c r="C13" s="1457"/>
      <c r="D13" s="1440"/>
      <c r="E13" s="279" t="s">
        <v>4</v>
      </c>
      <c r="F13" s="280">
        <v>3600</v>
      </c>
      <c r="G13" s="281"/>
      <c r="H13" s="281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1"/>
    </row>
    <row r="14" spans="1:21" s="29" customFormat="1" ht="33" customHeight="1">
      <c r="A14" s="1455" t="s">
        <v>408</v>
      </c>
      <c r="B14" s="1455" t="s">
        <v>409</v>
      </c>
      <c r="C14" s="1455" t="s">
        <v>410</v>
      </c>
      <c r="D14" s="1455" t="s">
        <v>411</v>
      </c>
      <c r="E14" s="1546" t="s">
        <v>412</v>
      </c>
      <c r="F14" s="1549">
        <v>6000</v>
      </c>
      <c r="G14" s="1527" t="s">
        <v>77</v>
      </c>
      <c r="H14" s="1493" t="s">
        <v>401</v>
      </c>
      <c r="I14" s="285"/>
      <c r="J14" s="285"/>
      <c r="K14" s="1446"/>
      <c r="L14" s="285"/>
      <c r="M14" s="285"/>
      <c r="N14" s="285"/>
      <c r="O14" s="285"/>
      <c r="P14" s="285"/>
      <c r="Q14" s="285"/>
      <c r="R14" s="1446"/>
      <c r="S14" s="1552">
        <v>6000</v>
      </c>
      <c r="T14" s="285"/>
      <c r="U14" s="1458" t="s">
        <v>402</v>
      </c>
    </row>
    <row r="15" spans="1:21" s="29" customFormat="1" ht="18.75">
      <c r="A15" s="1456"/>
      <c r="B15" s="1456"/>
      <c r="C15" s="1456"/>
      <c r="D15" s="1456"/>
      <c r="E15" s="1556"/>
      <c r="F15" s="1550"/>
      <c r="G15" s="1528"/>
      <c r="H15" s="1473"/>
      <c r="I15" s="286"/>
      <c r="J15" s="286"/>
      <c r="K15" s="1447"/>
      <c r="L15" s="286"/>
      <c r="M15" s="286"/>
      <c r="N15" s="286"/>
      <c r="O15" s="286"/>
      <c r="P15" s="286"/>
      <c r="Q15" s="286"/>
      <c r="R15" s="1447"/>
      <c r="S15" s="1553"/>
      <c r="T15" s="286"/>
      <c r="U15" s="1459"/>
    </row>
    <row r="16" spans="1:21" s="29" customFormat="1" ht="18.75">
      <c r="A16" s="1456"/>
      <c r="B16" s="1456"/>
      <c r="C16" s="1456"/>
      <c r="D16" s="1456"/>
      <c r="E16" s="1556"/>
      <c r="F16" s="1550"/>
      <c r="G16" s="1528"/>
      <c r="H16" s="1473"/>
      <c r="I16" s="286"/>
      <c r="J16" s="286"/>
      <c r="K16" s="1447"/>
      <c r="L16" s="286"/>
      <c r="M16" s="286"/>
      <c r="N16" s="286"/>
      <c r="O16" s="286"/>
      <c r="P16" s="286"/>
      <c r="Q16" s="286"/>
      <c r="R16" s="1447"/>
      <c r="S16" s="1553"/>
      <c r="T16" s="286"/>
      <c r="U16" s="1459"/>
    </row>
    <row r="17" spans="1:21" s="29" customFormat="1" ht="18.75">
      <c r="A17" s="1456"/>
      <c r="B17" s="1456"/>
      <c r="C17" s="1456"/>
      <c r="D17" s="1456"/>
      <c r="E17" s="1557"/>
      <c r="F17" s="1551"/>
      <c r="G17" s="1555"/>
      <c r="H17" s="1558"/>
      <c r="I17" s="286"/>
      <c r="J17" s="286"/>
      <c r="K17" s="278"/>
      <c r="L17" s="286"/>
      <c r="M17" s="286"/>
      <c r="N17" s="286"/>
      <c r="O17" s="286"/>
      <c r="P17" s="286"/>
      <c r="Q17" s="286"/>
      <c r="R17" s="1447"/>
      <c r="S17" s="286"/>
      <c r="T17" s="286"/>
      <c r="U17" s="1459"/>
    </row>
    <row r="18" spans="1:21" s="29" customFormat="1" ht="18.75">
      <c r="A18" s="1457"/>
      <c r="B18" s="1457"/>
      <c r="C18" s="1457"/>
      <c r="D18" s="1457"/>
      <c r="E18" s="287" t="s">
        <v>4</v>
      </c>
      <c r="F18" s="280">
        <v>6000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29" customFormat="1" ht="33" customHeight="1">
      <c r="A19" s="1455" t="s">
        <v>413</v>
      </c>
      <c r="B19" s="1455" t="s">
        <v>414</v>
      </c>
      <c r="C19" s="1455" t="s">
        <v>415</v>
      </c>
      <c r="D19" s="1455" t="s">
        <v>416</v>
      </c>
      <c r="E19" s="1546" t="s">
        <v>417</v>
      </c>
      <c r="F19" s="1549">
        <v>0</v>
      </c>
      <c r="G19" s="1527" t="s">
        <v>77</v>
      </c>
      <c r="H19" s="1493" t="s">
        <v>401</v>
      </c>
      <c r="I19" s="285"/>
      <c r="J19" s="285"/>
      <c r="K19" s="1446"/>
      <c r="L19" s="285"/>
      <c r="M19" s="285"/>
      <c r="N19" s="285"/>
      <c r="O19" s="285"/>
      <c r="P19" s="285"/>
      <c r="Q19" s="285"/>
      <c r="R19" s="1446"/>
      <c r="S19" s="1552"/>
      <c r="T19" s="285"/>
      <c r="U19" s="1458" t="s">
        <v>402</v>
      </c>
    </row>
    <row r="20" spans="1:21" s="29" customFormat="1" ht="18.75">
      <c r="A20" s="1456"/>
      <c r="B20" s="1456"/>
      <c r="C20" s="1456"/>
      <c r="D20" s="1456"/>
      <c r="E20" s="1547"/>
      <c r="F20" s="1550"/>
      <c r="G20" s="1528"/>
      <c r="H20" s="1473"/>
      <c r="I20" s="286"/>
      <c r="J20" s="286"/>
      <c r="K20" s="1447"/>
      <c r="L20" s="286"/>
      <c r="M20" s="286"/>
      <c r="N20" s="286"/>
      <c r="O20" s="286"/>
      <c r="P20" s="286"/>
      <c r="Q20" s="286"/>
      <c r="R20" s="1447"/>
      <c r="S20" s="1553"/>
      <c r="T20" s="286"/>
      <c r="U20" s="1459"/>
    </row>
    <row r="21" spans="1:21" s="29" customFormat="1" ht="18.75">
      <c r="A21" s="1456"/>
      <c r="B21" s="1456"/>
      <c r="C21" s="1456"/>
      <c r="D21" s="1456"/>
      <c r="E21" s="1547"/>
      <c r="F21" s="1550"/>
      <c r="G21" s="1528"/>
      <c r="H21" s="1473"/>
      <c r="I21" s="286"/>
      <c r="J21" s="286"/>
      <c r="K21" s="1447"/>
      <c r="L21" s="286"/>
      <c r="M21" s="286"/>
      <c r="N21" s="286"/>
      <c r="O21" s="286"/>
      <c r="P21" s="286"/>
      <c r="Q21" s="286"/>
      <c r="R21" s="1447"/>
      <c r="S21" s="1553"/>
      <c r="T21" s="286"/>
      <c r="U21" s="1459"/>
    </row>
    <row r="22" spans="1:21" s="29" customFormat="1" ht="18.75">
      <c r="A22" s="1456"/>
      <c r="B22" s="1456"/>
      <c r="C22" s="1456"/>
      <c r="D22" s="1456"/>
      <c r="E22" s="1548"/>
      <c r="F22" s="1551"/>
      <c r="G22" s="1555"/>
      <c r="H22" s="1558"/>
      <c r="I22" s="286"/>
      <c r="J22" s="286"/>
      <c r="K22" s="278"/>
      <c r="L22" s="286"/>
      <c r="M22" s="286"/>
      <c r="N22" s="286"/>
      <c r="O22" s="286"/>
      <c r="P22" s="286"/>
      <c r="Q22" s="286"/>
      <c r="R22" s="1447"/>
      <c r="S22" s="286"/>
      <c r="T22" s="286"/>
      <c r="U22" s="1459"/>
    </row>
    <row r="23" spans="1:21" s="29" customFormat="1" ht="18.75">
      <c r="A23" s="1457"/>
      <c r="B23" s="1457"/>
      <c r="C23" s="1457"/>
      <c r="D23" s="1457"/>
      <c r="E23" s="287" t="s">
        <v>4</v>
      </c>
      <c r="F23" s="280">
        <f>SUM(F19:F22)</f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9" customFormat="1" ht="33" customHeight="1">
      <c r="A24" s="1455" t="s">
        <v>418</v>
      </c>
      <c r="B24" s="1455" t="s">
        <v>419</v>
      </c>
      <c r="C24" s="1455" t="s">
        <v>420</v>
      </c>
      <c r="D24" s="1455" t="s">
        <v>421</v>
      </c>
      <c r="E24" s="1546" t="s">
        <v>417</v>
      </c>
      <c r="F24" s="1549">
        <v>0</v>
      </c>
      <c r="G24" s="1527" t="s">
        <v>77</v>
      </c>
      <c r="H24" s="1493" t="s">
        <v>401</v>
      </c>
      <c r="I24" s="285"/>
      <c r="J24" s="285"/>
      <c r="K24" s="1446"/>
      <c r="L24" s="285"/>
      <c r="M24" s="285"/>
      <c r="N24" s="285"/>
      <c r="O24" s="285"/>
      <c r="P24" s="285"/>
      <c r="Q24" s="285"/>
      <c r="R24" s="1446"/>
      <c r="S24" s="1552"/>
      <c r="T24" s="285"/>
      <c r="U24" s="1458" t="s">
        <v>402</v>
      </c>
    </row>
    <row r="25" spans="1:21" s="29" customFormat="1" ht="18.75">
      <c r="A25" s="1456"/>
      <c r="B25" s="1456"/>
      <c r="C25" s="1456"/>
      <c r="D25" s="1456"/>
      <c r="E25" s="1547"/>
      <c r="F25" s="1550"/>
      <c r="G25" s="1528"/>
      <c r="H25" s="1473"/>
      <c r="I25" s="286"/>
      <c r="J25" s="286"/>
      <c r="K25" s="1447"/>
      <c r="L25" s="286"/>
      <c r="M25" s="286"/>
      <c r="N25" s="286"/>
      <c r="O25" s="286"/>
      <c r="P25" s="286"/>
      <c r="Q25" s="286"/>
      <c r="R25" s="1447"/>
      <c r="S25" s="1553"/>
      <c r="T25" s="286"/>
      <c r="U25" s="1459"/>
    </row>
    <row r="26" spans="1:21" s="29" customFormat="1" ht="18.75">
      <c r="A26" s="1456"/>
      <c r="B26" s="1456"/>
      <c r="C26" s="1456"/>
      <c r="D26" s="1456"/>
      <c r="E26" s="1547"/>
      <c r="F26" s="1550"/>
      <c r="G26" s="1528"/>
      <c r="H26" s="1473"/>
      <c r="I26" s="286"/>
      <c r="J26" s="286"/>
      <c r="K26" s="1447"/>
      <c r="L26" s="286"/>
      <c r="M26" s="286"/>
      <c r="N26" s="286"/>
      <c r="O26" s="286"/>
      <c r="P26" s="286"/>
      <c r="Q26" s="286"/>
      <c r="R26" s="1447"/>
      <c r="S26" s="1553"/>
      <c r="T26" s="286"/>
      <c r="U26" s="1459"/>
    </row>
    <row r="27" spans="1:21" s="29" customFormat="1" ht="18.75">
      <c r="A27" s="1456"/>
      <c r="B27" s="1456"/>
      <c r="C27" s="1456"/>
      <c r="D27" s="1456"/>
      <c r="E27" s="1548"/>
      <c r="F27" s="1551"/>
      <c r="G27" s="1555"/>
      <c r="H27" s="1558"/>
      <c r="I27" s="286"/>
      <c r="J27" s="286"/>
      <c r="K27" s="278"/>
      <c r="L27" s="286"/>
      <c r="M27" s="286"/>
      <c r="N27" s="286"/>
      <c r="O27" s="286"/>
      <c r="P27" s="286"/>
      <c r="Q27" s="286"/>
      <c r="R27" s="1447"/>
      <c r="S27" s="286"/>
      <c r="T27" s="286"/>
      <c r="U27" s="1459"/>
    </row>
    <row r="28" spans="1:21" s="29" customFormat="1" ht="18.75">
      <c r="A28" s="1457"/>
      <c r="B28" s="1457"/>
      <c r="C28" s="1457"/>
      <c r="D28" s="1457"/>
      <c r="E28" s="287" t="s">
        <v>4</v>
      </c>
      <c r="F28" s="280">
        <f>SUM(F24:F27)</f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29" customFormat="1" ht="33" customHeight="1">
      <c r="A29" s="1455" t="s">
        <v>422</v>
      </c>
      <c r="B29" s="1455" t="s">
        <v>423</v>
      </c>
      <c r="C29" s="1559" t="s">
        <v>424</v>
      </c>
      <c r="D29" s="1455" t="s">
        <v>425</v>
      </c>
      <c r="E29" s="1546" t="s">
        <v>407</v>
      </c>
      <c r="F29" s="1549">
        <v>3600</v>
      </c>
      <c r="G29" s="1527" t="s">
        <v>77</v>
      </c>
      <c r="H29" s="1493" t="s">
        <v>401</v>
      </c>
      <c r="I29" s="285"/>
      <c r="J29" s="285"/>
      <c r="K29" s="1446"/>
      <c r="L29" s="285"/>
      <c r="M29" s="285"/>
      <c r="N29" s="285"/>
      <c r="O29" s="285"/>
      <c r="P29" s="285"/>
      <c r="Q29" s="285"/>
      <c r="R29" s="1446"/>
      <c r="S29" s="1552">
        <v>3600</v>
      </c>
      <c r="T29" s="285"/>
      <c r="U29" s="1458" t="s">
        <v>402</v>
      </c>
    </row>
    <row r="30" spans="1:21" s="29" customFormat="1" ht="18.75">
      <c r="A30" s="1456"/>
      <c r="B30" s="1456"/>
      <c r="C30" s="1560"/>
      <c r="D30" s="1456"/>
      <c r="E30" s="1547"/>
      <c r="F30" s="1550"/>
      <c r="G30" s="1528"/>
      <c r="H30" s="1473"/>
      <c r="I30" s="286"/>
      <c r="J30" s="286"/>
      <c r="K30" s="1447"/>
      <c r="L30" s="286"/>
      <c r="M30" s="286"/>
      <c r="N30" s="286"/>
      <c r="O30" s="286"/>
      <c r="P30" s="286"/>
      <c r="Q30" s="286"/>
      <c r="R30" s="1447"/>
      <c r="S30" s="1553"/>
      <c r="T30" s="286"/>
      <c r="U30" s="1459"/>
    </row>
    <row r="31" spans="1:21" s="29" customFormat="1" ht="18" customHeight="1">
      <c r="A31" s="1456"/>
      <c r="B31" s="1456"/>
      <c r="C31" s="1560"/>
      <c r="D31" s="1456"/>
      <c r="E31" s="1547"/>
      <c r="F31" s="1550"/>
      <c r="G31" s="1528"/>
      <c r="H31" s="1473"/>
      <c r="I31" s="286"/>
      <c r="J31" s="286"/>
      <c r="K31" s="1447"/>
      <c r="L31" s="286"/>
      <c r="M31" s="286"/>
      <c r="N31" s="286"/>
      <c r="O31" s="286"/>
      <c r="P31" s="286"/>
      <c r="Q31" s="286"/>
      <c r="R31" s="1447"/>
      <c r="S31" s="1553"/>
      <c r="T31" s="286"/>
      <c r="U31" s="1459"/>
    </row>
    <row r="32" spans="1:21" s="29" customFormat="1" ht="18.75">
      <c r="A32" s="1456"/>
      <c r="B32" s="1456"/>
      <c r="C32" s="1560"/>
      <c r="D32" s="1456"/>
      <c r="E32" s="1548"/>
      <c r="F32" s="1551"/>
      <c r="G32" s="1555"/>
      <c r="H32" s="1558"/>
      <c r="I32" s="286"/>
      <c r="J32" s="286"/>
      <c r="K32" s="278"/>
      <c r="L32" s="286"/>
      <c r="M32" s="286"/>
      <c r="N32" s="286"/>
      <c r="O32" s="286"/>
      <c r="P32" s="286"/>
      <c r="Q32" s="286"/>
      <c r="R32" s="1447"/>
      <c r="S32" s="286"/>
      <c r="T32" s="286"/>
      <c r="U32" s="1459"/>
    </row>
    <row r="33" spans="1:21" s="29" customFormat="1" ht="18.75">
      <c r="A33" s="1457"/>
      <c r="B33" s="1457"/>
      <c r="C33" s="1561"/>
      <c r="D33" s="1457"/>
      <c r="E33" s="287" t="s">
        <v>4</v>
      </c>
      <c r="F33" s="280">
        <f>SUM(F29:F32)</f>
        <v>3600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29" customFormat="1" ht="33" customHeight="1">
      <c r="A34" s="1455" t="s">
        <v>563</v>
      </c>
      <c r="B34" s="1455" t="s">
        <v>426</v>
      </c>
      <c r="C34" s="1559" t="s">
        <v>427</v>
      </c>
      <c r="D34" s="1455" t="s">
        <v>428</v>
      </c>
      <c r="E34" s="1546" t="s">
        <v>429</v>
      </c>
      <c r="F34" s="1549">
        <v>16000</v>
      </c>
      <c r="G34" s="1527" t="s">
        <v>11</v>
      </c>
      <c r="H34" s="1472">
        <v>241852</v>
      </c>
      <c r="I34" s="285"/>
      <c r="J34" s="285"/>
      <c r="K34" s="1446"/>
      <c r="L34" s="285"/>
      <c r="M34" s="285"/>
      <c r="N34" s="1552">
        <v>49400</v>
      </c>
      <c r="O34" s="285"/>
      <c r="P34" s="285"/>
      <c r="Q34" s="285"/>
      <c r="R34" s="1446"/>
      <c r="S34" s="1552"/>
      <c r="T34" s="285"/>
      <c r="U34" s="1458" t="s">
        <v>430</v>
      </c>
    </row>
    <row r="35" spans="1:21" s="29" customFormat="1" ht="18.75">
      <c r="A35" s="1456"/>
      <c r="B35" s="1456"/>
      <c r="C35" s="1560"/>
      <c r="D35" s="1456"/>
      <c r="E35" s="1547"/>
      <c r="F35" s="1550"/>
      <c r="G35" s="1528"/>
      <c r="H35" s="1473"/>
      <c r="I35" s="286"/>
      <c r="J35" s="286"/>
      <c r="K35" s="1447"/>
      <c r="L35" s="286"/>
      <c r="M35" s="286"/>
      <c r="N35" s="1553"/>
      <c r="O35" s="286"/>
      <c r="P35" s="286"/>
      <c r="Q35" s="286"/>
      <c r="R35" s="1447"/>
      <c r="S35" s="1553"/>
      <c r="T35" s="286"/>
      <c r="U35" s="1459"/>
    </row>
    <row r="36" spans="1:21" s="29" customFormat="1" ht="18.75">
      <c r="A36" s="1456"/>
      <c r="B36" s="1456"/>
      <c r="C36" s="1560"/>
      <c r="D36" s="1456"/>
      <c r="E36" s="1547"/>
      <c r="F36" s="1550"/>
      <c r="G36" s="1528"/>
      <c r="H36" s="1473"/>
      <c r="I36" s="286"/>
      <c r="J36" s="286"/>
      <c r="K36" s="1447"/>
      <c r="L36" s="286"/>
      <c r="M36" s="286"/>
      <c r="N36" s="1553"/>
      <c r="O36" s="286"/>
      <c r="P36" s="286"/>
      <c r="Q36" s="286"/>
      <c r="R36" s="1447"/>
      <c r="S36" s="1553"/>
      <c r="T36" s="286"/>
      <c r="U36" s="1459"/>
    </row>
    <row r="37" spans="1:21" s="29" customFormat="1" ht="18.75">
      <c r="A37" s="1456"/>
      <c r="B37" s="1456"/>
      <c r="C37" s="1560"/>
      <c r="D37" s="1456"/>
      <c r="E37" s="1548"/>
      <c r="F37" s="1551"/>
      <c r="G37" s="1555"/>
      <c r="H37" s="1562"/>
      <c r="I37" s="286"/>
      <c r="J37" s="286"/>
      <c r="K37" s="278"/>
      <c r="L37" s="286"/>
      <c r="M37" s="286"/>
      <c r="N37" s="286"/>
      <c r="O37" s="286"/>
      <c r="P37" s="286"/>
      <c r="Q37" s="286"/>
      <c r="R37" s="1447"/>
      <c r="S37" s="286"/>
      <c r="T37" s="286"/>
      <c r="U37" s="1459"/>
    </row>
    <row r="38" spans="1:21" s="29" customFormat="1" ht="56.25">
      <c r="A38" s="1456"/>
      <c r="B38" s="1456"/>
      <c r="C38" s="1560"/>
      <c r="D38" s="1456"/>
      <c r="E38" s="494" t="s">
        <v>431</v>
      </c>
      <c r="F38" s="296">
        <v>8000</v>
      </c>
      <c r="G38" s="495" t="s">
        <v>11</v>
      </c>
      <c r="H38" s="1562"/>
      <c r="I38" s="286"/>
      <c r="J38" s="286"/>
      <c r="K38" s="278"/>
      <c r="L38" s="286"/>
      <c r="M38" s="286"/>
      <c r="N38" s="286"/>
      <c r="O38" s="286"/>
      <c r="P38" s="286"/>
      <c r="Q38" s="286"/>
      <c r="R38" s="278"/>
      <c r="S38" s="286"/>
      <c r="T38" s="286"/>
      <c r="U38" s="276"/>
    </row>
    <row r="39" spans="1:21" s="29" customFormat="1" ht="56.25">
      <c r="A39" s="1456"/>
      <c r="B39" s="1456"/>
      <c r="C39" s="1560"/>
      <c r="D39" s="1456"/>
      <c r="E39" s="494" t="s">
        <v>432</v>
      </c>
      <c r="F39" s="296">
        <v>7200</v>
      </c>
      <c r="G39" s="495" t="s">
        <v>11</v>
      </c>
      <c r="H39" s="1562"/>
      <c r="I39" s="286"/>
      <c r="J39" s="286"/>
      <c r="K39" s="278"/>
      <c r="L39" s="286"/>
      <c r="M39" s="286"/>
      <c r="N39" s="286"/>
      <c r="O39" s="286"/>
      <c r="P39" s="286"/>
      <c r="Q39" s="286"/>
      <c r="R39" s="278"/>
      <c r="S39" s="286"/>
      <c r="T39" s="286"/>
      <c r="U39" s="276"/>
    </row>
    <row r="40" spans="1:21" s="29" customFormat="1" ht="27.6" customHeight="1">
      <c r="A40" s="1456"/>
      <c r="B40" s="1456"/>
      <c r="C40" s="1560"/>
      <c r="D40" s="1456"/>
      <c r="E40" s="494" t="s">
        <v>433</v>
      </c>
      <c r="F40" s="296">
        <v>1200</v>
      </c>
      <c r="G40" s="495" t="s">
        <v>11</v>
      </c>
      <c r="H40" s="1562"/>
      <c r="I40" s="286"/>
      <c r="J40" s="286"/>
      <c r="K40" s="278"/>
      <c r="L40" s="286"/>
      <c r="M40" s="286"/>
      <c r="N40" s="286"/>
      <c r="O40" s="286"/>
      <c r="P40" s="286"/>
      <c r="Q40" s="286"/>
      <c r="R40" s="278"/>
      <c r="S40" s="286"/>
      <c r="T40" s="286"/>
      <c r="U40" s="276"/>
    </row>
    <row r="41" spans="1:21" s="29" customFormat="1" ht="27.6" customHeight="1">
      <c r="A41" s="1456"/>
      <c r="B41" s="1456"/>
      <c r="C41" s="1560"/>
      <c r="D41" s="1456"/>
      <c r="E41" s="494" t="s">
        <v>434</v>
      </c>
      <c r="F41" s="296">
        <v>2000</v>
      </c>
      <c r="G41" s="495" t="s">
        <v>11</v>
      </c>
      <c r="H41" s="1562"/>
      <c r="I41" s="286"/>
      <c r="J41" s="286"/>
      <c r="K41" s="278"/>
      <c r="L41" s="286"/>
      <c r="M41" s="286"/>
      <c r="N41" s="286"/>
      <c r="O41" s="286"/>
      <c r="P41" s="286"/>
      <c r="Q41" s="286"/>
      <c r="R41" s="278"/>
      <c r="S41" s="286"/>
      <c r="T41" s="286"/>
      <c r="U41" s="276"/>
    </row>
    <row r="42" spans="1:21" s="29" customFormat="1" ht="38.25">
      <c r="A42" s="1456"/>
      <c r="B42" s="1456"/>
      <c r="C42" s="1560"/>
      <c r="D42" s="1456"/>
      <c r="E42" s="494" t="s">
        <v>435</v>
      </c>
      <c r="F42" s="296">
        <v>8000</v>
      </c>
      <c r="G42" s="495" t="s">
        <v>11</v>
      </c>
      <c r="H42" s="1562"/>
      <c r="I42" s="286"/>
      <c r="J42" s="286"/>
      <c r="K42" s="278"/>
      <c r="L42" s="286"/>
      <c r="M42" s="286"/>
      <c r="N42" s="286"/>
      <c r="O42" s="286"/>
      <c r="P42" s="286"/>
      <c r="Q42" s="286"/>
      <c r="R42" s="278"/>
      <c r="S42" s="286"/>
      <c r="T42" s="286"/>
      <c r="U42" s="276"/>
    </row>
    <row r="43" spans="1:21" s="29" customFormat="1" ht="38.25">
      <c r="A43" s="1456"/>
      <c r="B43" s="1456"/>
      <c r="C43" s="1560"/>
      <c r="D43" s="1456"/>
      <c r="E43" s="494" t="s">
        <v>436</v>
      </c>
      <c r="F43" s="296">
        <v>1000</v>
      </c>
      <c r="G43" s="495" t="s">
        <v>11</v>
      </c>
      <c r="H43" s="1562"/>
      <c r="I43" s="286"/>
      <c r="J43" s="286"/>
      <c r="K43" s="278"/>
      <c r="L43" s="286"/>
      <c r="M43" s="286"/>
      <c r="N43" s="286"/>
      <c r="O43" s="286"/>
      <c r="P43" s="286"/>
      <c r="Q43" s="286"/>
      <c r="R43" s="278"/>
      <c r="S43" s="286"/>
      <c r="T43" s="286"/>
      <c r="U43" s="276"/>
    </row>
    <row r="44" spans="1:21" s="29" customFormat="1" ht="38.25">
      <c r="A44" s="1456"/>
      <c r="B44" s="1456"/>
      <c r="C44" s="1560"/>
      <c r="D44" s="1456"/>
      <c r="E44" s="494" t="s">
        <v>437</v>
      </c>
      <c r="F44" s="296">
        <v>2000</v>
      </c>
      <c r="G44" s="495" t="s">
        <v>11</v>
      </c>
      <c r="H44" s="1562"/>
      <c r="I44" s="286"/>
      <c r="J44" s="286"/>
      <c r="K44" s="278"/>
      <c r="L44" s="286"/>
      <c r="M44" s="286"/>
      <c r="N44" s="286"/>
      <c r="O44" s="286"/>
      <c r="P44" s="286"/>
      <c r="Q44" s="286"/>
      <c r="R44" s="278"/>
      <c r="S44" s="286"/>
      <c r="T44" s="286"/>
      <c r="U44" s="276"/>
    </row>
    <row r="45" spans="1:21" s="29" customFormat="1" ht="38.25">
      <c r="A45" s="1456"/>
      <c r="B45" s="1456"/>
      <c r="C45" s="1560"/>
      <c r="D45" s="1456"/>
      <c r="E45" s="494" t="s">
        <v>438</v>
      </c>
      <c r="F45" s="296">
        <v>4000</v>
      </c>
      <c r="G45" s="495" t="s">
        <v>11</v>
      </c>
      <c r="H45" s="1562"/>
      <c r="I45" s="286"/>
      <c r="J45" s="286"/>
      <c r="K45" s="278"/>
      <c r="L45" s="286"/>
      <c r="M45" s="286"/>
      <c r="N45" s="286"/>
      <c r="O45" s="286"/>
      <c r="P45" s="286"/>
      <c r="Q45" s="286"/>
      <c r="R45" s="278"/>
      <c r="S45" s="286"/>
      <c r="T45" s="286"/>
      <c r="U45" s="276"/>
    </row>
    <row r="46" spans="1:21" s="29" customFormat="1" ht="38.25">
      <c r="A46" s="1457"/>
      <c r="B46" s="1457"/>
      <c r="C46" s="1561"/>
      <c r="D46" s="1457"/>
      <c r="E46" s="287" t="s">
        <v>4</v>
      </c>
      <c r="F46" s="280">
        <v>49400</v>
      </c>
      <c r="G46" s="495" t="s">
        <v>11</v>
      </c>
      <c r="H46" s="1563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29" customFormat="1" ht="33" customHeight="1">
      <c r="A47" s="1455" t="s">
        <v>1448</v>
      </c>
      <c r="B47" s="1455" t="s">
        <v>439</v>
      </c>
      <c r="C47" s="1559" t="s">
        <v>440</v>
      </c>
      <c r="D47" s="1455" t="s">
        <v>441</v>
      </c>
      <c r="E47" s="1546" t="s">
        <v>1449</v>
      </c>
      <c r="F47" s="1549">
        <v>1200</v>
      </c>
      <c r="G47" s="1527" t="s">
        <v>11</v>
      </c>
      <c r="H47" s="1493" t="s">
        <v>442</v>
      </c>
      <c r="I47" s="285"/>
      <c r="K47" s="285">
        <v>600</v>
      </c>
      <c r="L47" s="285"/>
      <c r="M47" s="285"/>
      <c r="N47" s="285"/>
      <c r="O47" s="285"/>
      <c r="P47" s="285"/>
      <c r="Q47" s="285">
        <v>600</v>
      </c>
      <c r="R47" s="1446"/>
      <c r="S47" s="1552"/>
      <c r="T47" s="285"/>
      <c r="U47" s="1458" t="s">
        <v>402</v>
      </c>
    </row>
    <row r="48" spans="1:21" s="29" customFormat="1" ht="40.15" customHeight="1">
      <c r="A48" s="1456"/>
      <c r="B48" s="1456"/>
      <c r="C48" s="1560"/>
      <c r="D48" s="1456"/>
      <c r="E48" s="1547"/>
      <c r="F48" s="1550"/>
      <c r="G48" s="1528"/>
      <c r="H48" s="1473"/>
      <c r="I48" s="286"/>
      <c r="J48" s="286"/>
      <c r="K48" s="278"/>
      <c r="L48" s="286"/>
      <c r="M48" s="286"/>
      <c r="N48" s="286"/>
      <c r="O48" s="286"/>
      <c r="P48" s="286"/>
      <c r="Q48" s="286"/>
      <c r="R48" s="1447"/>
      <c r="S48" s="1553"/>
      <c r="T48" s="286"/>
      <c r="U48" s="1459"/>
    </row>
    <row r="49" spans="1:21" s="29" customFormat="1" ht="18.75">
      <c r="A49" s="1456"/>
      <c r="B49" s="1456"/>
      <c r="C49" s="1560"/>
      <c r="D49" s="1456"/>
      <c r="E49" s="1547"/>
      <c r="F49" s="1550"/>
      <c r="G49" s="1528"/>
      <c r="H49" s="1473"/>
      <c r="I49" s="286"/>
      <c r="J49" s="286"/>
      <c r="K49" s="278"/>
      <c r="L49" s="286"/>
      <c r="M49" s="286"/>
      <c r="N49" s="286"/>
      <c r="O49" s="286"/>
      <c r="P49" s="286"/>
      <c r="Q49" s="286"/>
      <c r="R49" s="1447"/>
      <c r="S49" s="1553"/>
      <c r="T49" s="286"/>
      <c r="U49" s="1459"/>
    </row>
    <row r="50" spans="1:21" s="29" customFormat="1" ht="18.75">
      <c r="A50" s="1456"/>
      <c r="B50" s="1456"/>
      <c r="C50" s="1560"/>
      <c r="D50" s="1456"/>
      <c r="E50" s="1548"/>
      <c r="F50" s="1551"/>
      <c r="G50" s="1555"/>
      <c r="H50" s="1562"/>
      <c r="I50" s="286"/>
      <c r="J50" s="286"/>
      <c r="K50" s="278"/>
      <c r="L50" s="286"/>
      <c r="M50" s="286"/>
      <c r="N50" s="286"/>
      <c r="O50" s="286"/>
      <c r="P50" s="286"/>
      <c r="Q50" s="286"/>
      <c r="R50" s="1447"/>
      <c r="S50" s="286"/>
      <c r="T50" s="286"/>
      <c r="U50" s="1459"/>
    </row>
    <row r="51" spans="1:21" s="29" customFormat="1" ht="112.5">
      <c r="A51" s="1456"/>
      <c r="B51" s="1456"/>
      <c r="C51" s="1560"/>
      <c r="D51" s="1456"/>
      <c r="E51" s="494" t="s">
        <v>564</v>
      </c>
      <c r="F51" s="296">
        <v>15400</v>
      </c>
      <c r="G51" s="495" t="s">
        <v>11</v>
      </c>
      <c r="H51" s="1558"/>
      <c r="I51" s="286"/>
      <c r="J51" s="286"/>
      <c r="K51" s="278"/>
      <c r="L51" s="286"/>
      <c r="M51" s="286"/>
      <c r="N51" s="286"/>
      <c r="O51" s="286"/>
      <c r="P51" s="286"/>
      <c r="Q51" s="64">
        <v>15400</v>
      </c>
      <c r="R51" s="278"/>
      <c r="S51" s="286"/>
      <c r="T51" s="286"/>
      <c r="U51" s="276"/>
    </row>
    <row r="52" spans="1:21" s="29" customFormat="1" ht="35.450000000000003" customHeight="1">
      <c r="A52" s="1457"/>
      <c r="B52" s="1457"/>
      <c r="C52" s="1561"/>
      <c r="D52" s="1457"/>
      <c r="E52" s="287" t="s">
        <v>443</v>
      </c>
      <c r="F52" s="280">
        <v>16600</v>
      </c>
      <c r="G52" s="495" t="s">
        <v>11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29" customFormat="1" ht="64.5">
      <c r="A53" s="491"/>
      <c r="B53" s="491"/>
      <c r="C53" s="491"/>
      <c r="D53" s="492"/>
      <c r="E53" s="290" t="s">
        <v>139</v>
      </c>
      <c r="F53" s="232">
        <v>79200</v>
      </c>
      <c r="G53" s="291"/>
      <c r="H53" s="291"/>
      <c r="I53" s="64">
        <f>SUM(I6:I18)</f>
        <v>0</v>
      </c>
      <c r="J53" s="64"/>
      <c r="K53" s="64">
        <v>600</v>
      </c>
      <c r="L53" s="64">
        <f>SUM(L6:L18)</f>
        <v>0</v>
      </c>
      <c r="M53" s="64">
        <f>SUM(M6:M18)</f>
        <v>0</v>
      </c>
      <c r="N53" s="64">
        <v>49400</v>
      </c>
      <c r="O53" s="64">
        <f>SUM(O6:O18)</f>
        <v>0</v>
      </c>
      <c r="P53" s="64">
        <f>SUM(P6:P18)</f>
        <v>0</v>
      </c>
      <c r="Q53" s="64">
        <v>16000</v>
      </c>
      <c r="R53" s="64">
        <f>SUM(R6:R18)</f>
        <v>0</v>
      </c>
      <c r="S53" s="64">
        <v>13200</v>
      </c>
      <c r="T53" s="64">
        <f>SUM(T6:T18)</f>
        <v>0</v>
      </c>
      <c r="U53" s="68"/>
    </row>
    <row r="55" spans="1:21" ht="24">
      <c r="A55" s="33" t="s">
        <v>140</v>
      </c>
      <c r="B55" s="1435" t="s">
        <v>141</v>
      </c>
      <c r="C55" s="1435"/>
      <c r="D55" s="1435"/>
      <c r="E55" s="1435"/>
    </row>
    <row r="56" spans="1:21">
      <c r="F56" s="79">
        <f>F52+F46</f>
        <v>66000</v>
      </c>
      <c r="G56" t="s">
        <v>444</v>
      </c>
    </row>
    <row r="57" spans="1:21">
      <c r="F57" s="79">
        <f>F13+F18+F33</f>
        <v>13200</v>
      </c>
      <c r="G57" t="s">
        <v>77</v>
      </c>
    </row>
    <row r="58" spans="1:21">
      <c r="F58" s="79"/>
    </row>
  </sheetData>
  <mergeCells count="140">
    <mergeCell ref="K29:K31"/>
    <mergeCell ref="U34:U37"/>
    <mergeCell ref="E47:E50"/>
    <mergeCell ref="F47:F50"/>
    <mergeCell ref="R29:R32"/>
    <mergeCell ref="S29:S31"/>
    <mergeCell ref="U29:U32"/>
    <mergeCell ref="G47:G50"/>
    <mergeCell ref="S47:S49"/>
    <mergeCell ref="S34:S36"/>
    <mergeCell ref="U47:U50"/>
    <mergeCell ref="B55:E55"/>
    <mergeCell ref="A47:A52"/>
    <mergeCell ref="B47:B52"/>
    <mergeCell ref="C47:C52"/>
    <mergeCell ref="D47:D52"/>
    <mergeCell ref="U24:U27"/>
    <mergeCell ref="H47:H51"/>
    <mergeCell ref="R47:R50"/>
    <mergeCell ref="A29:A33"/>
    <mergeCell ref="B29:B33"/>
    <mergeCell ref="C29:C33"/>
    <mergeCell ref="D29:D33"/>
    <mergeCell ref="E29:E32"/>
    <mergeCell ref="F29:F32"/>
    <mergeCell ref="A34:A46"/>
    <mergeCell ref="R24:R27"/>
    <mergeCell ref="S24:S26"/>
    <mergeCell ref="H34:H46"/>
    <mergeCell ref="K34:K36"/>
    <mergeCell ref="N34:N36"/>
    <mergeCell ref="R34:R37"/>
    <mergeCell ref="K24:K26"/>
    <mergeCell ref="F34:F37"/>
    <mergeCell ref="G34:G37"/>
    <mergeCell ref="A24:A28"/>
    <mergeCell ref="B24:B28"/>
    <mergeCell ref="C24:C28"/>
    <mergeCell ref="D24:D28"/>
    <mergeCell ref="E24:E27"/>
    <mergeCell ref="H19:H22"/>
    <mergeCell ref="H24:H27"/>
    <mergeCell ref="B34:B46"/>
    <mergeCell ref="C34:C46"/>
    <mergeCell ref="D34:D46"/>
    <mergeCell ref="E34:E37"/>
    <mergeCell ref="G29:G32"/>
    <mergeCell ref="F24:F27"/>
    <mergeCell ref="G24:G27"/>
    <mergeCell ref="H29:H32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R14:R17"/>
    <mergeCell ref="F14:F17"/>
    <mergeCell ref="G14:G17"/>
    <mergeCell ref="H14:H17"/>
    <mergeCell ref="K14:K16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I6:I8"/>
    <mergeCell ref="J6:J8"/>
    <mergeCell ref="K6:K8"/>
    <mergeCell ref="L6:L8"/>
    <mergeCell ref="M6:M8"/>
    <mergeCell ref="U10:U12"/>
    <mergeCell ref="O10:O12"/>
    <mergeCell ref="P10:P12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H6:H8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topLeftCell="A99" zoomScaleSheetLayoutView="80" workbookViewId="0">
      <selection activeCell="H2" sqref="H1:U65536"/>
    </sheetView>
  </sheetViews>
  <sheetFormatPr defaultColWidth="9" defaultRowHeight="18.75"/>
  <cols>
    <col min="1" max="4" width="13.75" style="60" customWidth="1"/>
    <col min="5" max="5" width="20.75" style="60" customWidth="1"/>
    <col min="6" max="6" width="9.25" style="60" customWidth="1"/>
    <col min="7" max="7" width="5.375" style="60" customWidth="1"/>
    <col min="8" max="8" width="9.25" style="60" customWidth="1"/>
    <col min="9" max="10" width="4" style="805" customWidth="1"/>
    <col min="11" max="20" width="4" style="1093" customWidth="1"/>
    <col min="21" max="21" width="6.125" style="60" customWidth="1"/>
    <col min="22" max="23" width="9" style="815"/>
    <col min="24" max="16384" width="9" style="60"/>
  </cols>
  <sheetData>
    <row r="1" spans="1:23" s="32" customFormat="1" ht="20.25">
      <c r="A1" s="1564" t="s">
        <v>1454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  <c r="Q1" s="1564"/>
      <c r="R1" s="1564"/>
      <c r="S1" s="1564"/>
      <c r="T1" s="1564"/>
      <c r="U1" s="1564"/>
      <c r="V1" s="1060"/>
      <c r="W1" s="1060"/>
    </row>
    <row r="2" spans="1:23" s="32" customFormat="1" ht="20.25">
      <c r="A2" s="1565" t="s">
        <v>1463</v>
      </c>
      <c r="B2" s="1565"/>
      <c r="C2" s="1565"/>
      <c r="D2" s="1565"/>
      <c r="E2" s="235"/>
      <c r="I2" s="778"/>
      <c r="J2" s="778"/>
      <c r="K2" s="1091"/>
      <c r="L2" s="1091"/>
      <c r="M2" s="1091"/>
      <c r="N2" s="1091"/>
      <c r="O2" s="1091"/>
      <c r="P2" s="1091"/>
      <c r="Q2" s="1091"/>
      <c r="R2" s="1091"/>
      <c r="S2" s="1091"/>
      <c r="T2" s="1091"/>
      <c r="V2" s="1060"/>
      <c r="W2" s="1060"/>
    </row>
    <row r="3" spans="1:23" s="32" customFormat="1" ht="20.25">
      <c r="A3" s="233" t="s">
        <v>1464</v>
      </c>
      <c r="B3" s="233"/>
      <c r="C3" s="233"/>
      <c r="D3" s="233"/>
      <c r="E3" s="235"/>
      <c r="I3" s="778"/>
      <c r="J3" s="778"/>
      <c r="K3" s="1091"/>
      <c r="L3" s="1091"/>
      <c r="M3" s="1091"/>
      <c r="N3" s="1091"/>
      <c r="O3" s="1091"/>
      <c r="P3" s="1091"/>
      <c r="Q3" s="1091"/>
      <c r="R3" s="1091"/>
      <c r="S3" s="1091"/>
      <c r="T3" s="1091"/>
      <c r="V3" s="1060"/>
      <c r="W3" s="1060"/>
    </row>
    <row r="4" spans="1:23">
      <c r="A4" s="1566" t="s">
        <v>44</v>
      </c>
      <c r="B4" s="1566" t="s">
        <v>45</v>
      </c>
      <c r="C4" s="1566" t="s">
        <v>46</v>
      </c>
      <c r="D4" s="1566" t="s">
        <v>47</v>
      </c>
      <c r="E4" s="1566" t="s">
        <v>48</v>
      </c>
      <c r="F4" s="1566"/>
      <c r="G4" s="1566"/>
      <c r="H4" s="1566" t="s">
        <v>49</v>
      </c>
      <c r="I4" s="1567" t="s">
        <v>50</v>
      </c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6" t="s">
        <v>153</v>
      </c>
    </row>
    <row r="5" spans="1:23">
      <c r="A5" s="1566"/>
      <c r="B5" s="1566"/>
      <c r="C5" s="1566"/>
      <c r="D5" s="1566"/>
      <c r="E5" s="1566" t="s">
        <v>52</v>
      </c>
      <c r="F5" s="1566" t="s">
        <v>53</v>
      </c>
      <c r="G5" s="1566" t="s">
        <v>54</v>
      </c>
      <c r="H5" s="1566"/>
      <c r="I5" s="1569" t="s">
        <v>55</v>
      </c>
      <c r="J5" s="1569" t="s">
        <v>56</v>
      </c>
      <c r="K5" s="1569" t="s">
        <v>57</v>
      </c>
      <c r="L5" s="1572" t="s">
        <v>58</v>
      </c>
      <c r="M5" s="1572" t="s">
        <v>59</v>
      </c>
      <c r="N5" s="1569" t="s">
        <v>60</v>
      </c>
      <c r="O5" s="1569" t="s">
        <v>61</v>
      </c>
      <c r="P5" s="1569" t="s">
        <v>62</v>
      </c>
      <c r="Q5" s="1569" t="s">
        <v>63</v>
      </c>
      <c r="R5" s="1569" t="s">
        <v>64</v>
      </c>
      <c r="S5" s="1569" t="s">
        <v>65</v>
      </c>
      <c r="T5" s="1569" t="s">
        <v>66</v>
      </c>
      <c r="U5" s="1566"/>
    </row>
    <row r="6" spans="1:23">
      <c r="A6" s="1566"/>
      <c r="B6" s="1566"/>
      <c r="C6" s="1566"/>
      <c r="D6" s="1566"/>
      <c r="E6" s="1566"/>
      <c r="F6" s="1566"/>
      <c r="G6" s="1566"/>
      <c r="H6" s="1566"/>
      <c r="I6" s="1569"/>
      <c r="J6" s="1569"/>
      <c r="K6" s="1569"/>
      <c r="L6" s="1572"/>
      <c r="M6" s="1572"/>
      <c r="N6" s="1569"/>
      <c r="O6" s="1569"/>
      <c r="P6" s="1569"/>
      <c r="Q6" s="1569"/>
      <c r="R6" s="1569"/>
      <c r="S6" s="1569"/>
      <c r="T6" s="1569"/>
      <c r="U6" s="1566"/>
    </row>
    <row r="7" spans="1:23">
      <c r="A7" s="1103" t="s">
        <v>472</v>
      </c>
      <c r="B7" s="1053"/>
      <c r="C7" s="1053"/>
      <c r="D7" s="1053"/>
      <c r="E7" s="1053"/>
      <c r="F7" s="1053"/>
      <c r="G7" s="362"/>
      <c r="H7" s="1053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/>
      <c r="T7" s="1094"/>
      <c r="U7" s="1053"/>
    </row>
    <row r="8" spans="1:23" ht="93.75">
      <c r="A8" s="240" t="s">
        <v>1465</v>
      </c>
      <c r="B8" s="1053"/>
      <c r="C8" s="303" t="s">
        <v>473</v>
      </c>
      <c r="D8" s="303" t="s">
        <v>474</v>
      </c>
      <c r="E8" s="240"/>
      <c r="F8" s="352"/>
      <c r="G8" s="303"/>
      <c r="H8" s="303" t="s">
        <v>1466</v>
      </c>
      <c r="I8" s="1095"/>
      <c r="J8" s="1095"/>
      <c r="K8" s="1095"/>
      <c r="L8" s="1095"/>
      <c r="M8" s="1095"/>
      <c r="N8" s="1095"/>
      <c r="O8" s="1095"/>
      <c r="P8" s="1095"/>
      <c r="Q8" s="1095"/>
      <c r="R8" s="1095"/>
      <c r="S8" s="1095"/>
      <c r="T8" s="1095"/>
      <c r="U8" s="323" t="s">
        <v>475</v>
      </c>
    </row>
    <row r="9" spans="1:23" ht="168.75">
      <c r="A9" s="240" t="s">
        <v>1467</v>
      </c>
      <c r="B9" s="1053"/>
      <c r="C9" s="67" t="s">
        <v>476</v>
      </c>
      <c r="D9" s="67" t="s">
        <v>477</v>
      </c>
      <c r="E9" s="240"/>
      <c r="F9" s="352"/>
      <c r="G9" s="303"/>
      <c r="H9" s="303" t="s">
        <v>202</v>
      </c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323" t="s">
        <v>475</v>
      </c>
    </row>
    <row r="10" spans="1:23">
      <c r="A10" s="1061" t="s">
        <v>478</v>
      </c>
      <c r="B10" s="1053"/>
      <c r="C10" s="67"/>
      <c r="D10" s="67"/>
      <c r="E10" s="240"/>
      <c r="F10" s="352"/>
      <c r="G10" s="303"/>
      <c r="H10" s="303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323"/>
    </row>
    <row r="11" spans="1:23" ht="42">
      <c r="A11" s="1062" t="s">
        <v>479</v>
      </c>
      <c r="B11" s="1053"/>
      <c r="C11" s="67"/>
      <c r="D11" s="67"/>
      <c r="E11" s="240" t="s">
        <v>480</v>
      </c>
      <c r="F11" s="352">
        <v>4800</v>
      </c>
      <c r="G11" s="303" t="s">
        <v>77</v>
      </c>
      <c r="H11" s="303"/>
      <c r="I11" s="1095"/>
      <c r="J11" s="1095"/>
      <c r="K11" s="1095"/>
      <c r="L11" s="1095"/>
      <c r="M11" s="1095">
        <v>2400</v>
      </c>
      <c r="N11" s="1095"/>
      <c r="O11" s="1095"/>
      <c r="P11" s="1095"/>
      <c r="Q11" s="1095"/>
      <c r="R11" s="1095"/>
      <c r="S11" s="1095">
        <v>2400</v>
      </c>
      <c r="T11" s="1095"/>
      <c r="U11" s="323"/>
    </row>
    <row r="12" spans="1:23" ht="42">
      <c r="A12" s="1062" t="s">
        <v>481</v>
      </c>
      <c r="B12" s="1053"/>
      <c r="C12" s="67"/>
      <c r="D12" s="67"/>
      <c r="E12" s="240" t="s">
        <v>480</v>
      </c>
      <c r="F12" s="352">
        <v>4800</v>
      </c>
      <c r="G12" s="303" t="s">
        <v>77</v>
      </c>
      <c r="H12" s="303"/>
      <c r="I12" s="1095"/>
      <c r="J12" s="1095"/>
      <c r="K12" s="1095"/>
      <c r="L12" s="1095">
        <v>2400</v>
      </c>
      <c r="M12" s="1095"/>
      <c r="N12" s="1095"/>
      <c r="O12" s="1095"/>
      <c r="P12" s="1095">
        <v>2400</v>
      </c>
      <c r="Q12" s="1095"/>
      <c r="R12" s="1095"/>
      <c r="S12" s="1095"/>
      <c r="T12" s="1095"/>
      <c r="U12" s="323"/>
    </row>
    <row r="13" spans="1:23" ht="42">
      <c r="A13" s="1062" t="s">
        <v>482</v>
      </c>
      <c r="B13" s="1053"/>
      <c r="C13" s="303"/>
      <c r="D13" s="303"/>
      <c r="E13" s="240" t="s">
        <v>480</v>
      </c>
      <c r="F13" s="352">
        <v>4800</v>
      </c>
      <c r="G13" s="303" t="s">
        <v>77</v>
      </c>
      <c r="H13" s="303"/>
      <c r="I13" s="1095"/>
      <c r="J13" s="1095"/>
      <c r="K13" s="1095"/>
      <c r="L13" s="1095">
        <v>2400</v>
      </c>
      <c r="M13" s="1095"/>
      <c r="N13" s="1095"/>
      <c r="O13" s="1095"/>
      <c r="P13" s="1095"/>
      <c r="Q13" s="1095"/>
      <c r="R13" s="1095"/>
      <c r="S13" s="1095">
        <v>2400</v>
      </c>
      <c r="T13" s="1095"/>
      <c r="U13" s="323"/>
    </row>
    <row r="14" spans="1:23">
      <c r="A14" s="1062" t="s">
        <v>483</v>
      </c>
      <c r="B14" s="1053"/>
      <c r="C14" s="303"/>
      <c r="D14" s="303"/>
      <c r="E14" s="240"/>
      <c r="F14" s="352"/>
      <c r="G14" s="303"/>
      <c r="H14" s="303"/>
      <c r="I14" s="1095"/>
      <c r="J14" s="1095"/>
      <c r="K14" s="1095"/>
      <c r="L14" s="1095"/>
      <c r="M14" s="1095"/>
      <c r="N14" s="1095"/>
      <c r="O14" s="1095"/>
      <c r="P14" s="1095"/>
      <c r="Q14" s="1095"/>
      <c r="R14" s="1095"/>
      <c r="S14" s="1095"/>
      <c r="T14" s="1095"/>
      <c r="U14" s="323"/>
    </row>
    <row r="15" spans="1:23">
      <c r="A15" s="1062" t="s">
        <v>484</v>
      </c>
      <c r="B15" s="1053"/>
      <c r="C15" s="303"/>
      <c r="D15" s="303"/>
      <c r="E15" s="240"/>
      <c r="F15" s="352"/>
      <c r="G15" s="303"/>
      <c r="H15" s="303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323"/>
    </row>
    <row r="16" spans="1:23" ht="18.75" customHeight="1">
      <c r="A16" s="1061" t="s">
        <v>485</v>
      </c>
      <c r="B16" s="1053"/>
      <c r="C16" s="303"/>
      <c r="D16" s="303"/>
      <c r="E16" s="66"/>
      <c r="F16" s="66"/>
      <c r="G16" s="1064"/>
      <c r="H16" s="303"/>
      <c r="I16" s="1095"/>
      <c r="J16" s="1095"/>
      <c r="K16" s="1095"/>
      <c r="L16" s="1096"/>
      <c r="M16" s="1095"/>
      <c r="N16" s="1095"/>
      <c r="O16" s="1095"/>
      <c r="P16" s="1095"/>
      <c r="Q16" s="1095"/>
      <c r="R16" s="1097"/>
      <c r="S16" s="1096"/>
      <c r="T16" s="1095"/>
      <c r="U16" s="323"/>
    </row>
    <row r="17" spans="1:21" ht="21" customHeight="1">
      <c r="A17" s="1062" t="s">
        <v>486</v>
      </c>
      <c r="B17" s="1053"/>
      <c r="C17" s="303"/>
      <c r="D17" s="303"/>
      <c r="E17" s="1440" t="s">
        <v>480</v>
      </c>
      <c r="F17" s="1570">
        <v>4800</v>
      </c>
      <c r="G17" s="1571" t="s">
        <v>77</v>
      </c>
      <c r="H17" s="303"/>
      <c r="I17" s="1095"/>
      <c r="J17" s="1095"/>
      <c r="K17" s="1095"/>
      <c r="L17" s="1568">
        <v>2400</v>
      </c>
      <c r="M17" s="1095"/>
      <c r="N17" s="1095"/>
      <c r="O17" s="1095"/>
      <c r="P17" s="1095"/>
      <c r="Q17" s="1095"/>
      <c r="R17" s="1097"/>
      <c r="S17" s="1568">
        <v>2400</v>
      </c>
      <c r="T17" s="1095"/>
      <c r="U17" s="323"/>
    </row>
    <row r="18" spans="1:21" ht="21" customHeight="1">
      <c r="A18" s="1062" t="s">
        <v>487</v>
      </c>
      <c r="B18" s="1053"/>
      <c r="C18" s="303"/>
      <c r="D18" s="303"/>
      <c r="E18" s="1440"/>
      <c r="F18" s="1570"/>
      <c r="G18" s="1571"/>
      <c r="H18" s="303"/>
      <c r="I18" s="1095"/>
      <c r="J18" s="1095"/>
      <c r="K18" s="1095"/>
      <c r="L18" s="1568"/>
      <c r="M18" s="1095"/>
      <c r="N18" s="1095"/>
      <c r="O18" s="1095"/>
      <c r="P18" s="1095"/>
      <c r="Q18" s="1095"/>
      <c r="R18" s="1095"/>
      <c r="S18" s="1568"/>
      <c r="T18" s="1095"/>
      <c r="U18" s="323"/>
    </row>
    <row r="19" spans="1:21" ht="206.25">
      <c r="A19" s="240" t="s">
        <v>488</v>
      </c>
      <c r="B19" s="1053"/>
      <c r="C19" s="67" t="s">
        <v>489</v>
      </c>
      <c r="D19" s="67" t="s">
        <v>490</v>
      </c>
      <c r="E19" s="240"/>
      <c r="F19" s="352"/>
      <c r="G19" s="303" t="s">
        <v>77</v>
      </c>
      <c r="H19" s="303" t="s">
        <v>202</v>
      </c>
      <c r="I19" s="1095"/>
      <c r="J19" s="1095"/>
      <c r="K19" s="1095"/>
      <c r="L19" s="1095"/>
      <c r="M19" s="1095"/>
      <c r="N19" s="1095"/>
      <c r="O19" s="1095"/>
      <c r="P19" s="1095"/>
      <c r="Q19" s="1095"/>
      <c r="R19" s="1095"/>
      <c r="S19" s="1095"/>
      <c r="T19" s="1095"/>
      <c r="U19" s="323" t="s">
        <v>475</v>
      </c>
    </row>
    <row r="20" spans="1:21">
      <c r="A20" s="1061" t="s">
        <v>491</v>
      </c>
      <c r="B20" s="1053"/>
      <c r="C20" s="67"/>
      <c r="D20" s="67"/>
      <c r="E20" s="240"/>
      <c r="F20" s="352"/>
      <c r="G20" s="303"/>
      <c r="H20" s="303"/>
      <c r="I20" s="1095"/>
      <c r="J20" s="1095"/>
      <c r="K20" s="1095"/>
      <c r="L20" s="1095"/>
      <c r="M20" s="1095"/>
      <c r="N20" s="1095"/>
      <c r="O20" s="1095"/>
      <c r="P20" s="1095"/>
      <c r="Q20" s="1095"/>
      <c r="R20" s="1095"/>
      <c r="S20" s="1095"/>
      <c r="T20" s="1095"/>
      <c r="U20" s="323"/>
    </row>
    <row r="21" spans="1:21" ht="42">
      <c r="A21" s="1062" t="s">
        <v>492</v>
      </c>
      <c r="B21" s="1053"/>
      <c r="C21" s="67"/>
      <c r="D21" s="67"/>
      <c r="E21" s="240" t="s">
        <v>1468</v>
      </c>
      <c r="F21" s="352">
        <v>4800</v>
      </c>
      <c r="G21" s="303" t="s">
        <v>77</v>
      </c>
      <c r="H21" s="303"/>
      <c r="I21" s="1095"/>
      <c r="J21" s="1095"/>
      <c r="K21" s="1095"/>
      <c r="L21" s="1095"/>
      <c r="M21" s="1095"/>
      <c r="N21" s="1095">
        <v>2400</v>
      </c>
      <c r="O21" s="1095"/>
      <c r="P21" s="1095"/>
      <c r="Q21" s="1095"/>
      <c r="R21" s="1095"/>
      <c r="S21" s="1095"/>
      <c r="T21" s="1095">
        <v>2400</v>
      </c>
      <c r="U21" s="323"/>
    </row>
    <row r="22" spans="1:21" ht="42">
      <c r="A22" s="1062" t="s">
        <v>493</v>
      </c>
      <c r="B22" s="1053"/>
      <c r="C22" s="67"/>
      <c r="D22" s="67"/>
      <c r="E22" s="240" t="s">
        <v>480</v>
      </c>
      <c r="F22" s="352">
        <v>4800</v>
      </c>
      <c r="G22" s="303" t="s">
        <v>77</v>
      </c>
      <c r="H22" s="303"/>
      <c r="I22" s="1095"/>
      <c r="J22" s="1095"/>
      <c r="K22" s="1095"/>
      <c r="L22" s="1095"/>
      <c r="M22" s="1095"/>
      <c r="N22" s="1095">
        <v>2400</v>
      </c>
      <c r="O22" s="1095"/>
      <c r="P22" s="1095"/>
      <c r="Q22" s="1095"/>
      <c r="R22" s="1095"/>
      <c r="S22" s="1095"/>
      <c r="T22" s="1095">
        <v>2400</v>
      </c>
      <c r="U22" s="323"/>
    </row>
    <row r="23" spans="1:21" ht="42">
      <c r="A23" s="1062" t="s">
        <v>494</v>
      </c>
      <c r="B23" s="1053"/>
      <c r="C23" s="67"/>
      <c r="D23" s="67"/>
      <c r="E23" s="240" t="s">
        <v>495</v>
      </c>
      <c r="F23" s="352">
        <v>2400</v>
      </c>
      <c r="G23" s="303" t="s">
        <v>77</v>
      </c>
      <c r="H23" s="303"/>
      <c r="I23" s="1095"/>
      <c r="J23" s="1095"/>
      <c r="K23" s="1095"/>
      <c r="L23" s="1095"/>
      <c r="M23" s="1095"/>
      <c r="N23" s="1095">
        <v>1200</v>
      </c>
      <c r="O23" s="1095"/>
      <c r="P23" s="1095"/>
      <c r="Q23" s="1095"/>
      <c r="R23" s="1095"/>
      <c r="S23" s="1095"/>
      <c r="T23" s="1095">
        <v>1200</v>
      </c>
      <c r="U23" s="323"/>
    </row>
    <row r="24" spans="1:21">
      <c r="A24" s="1062" t="s">
        <v>496</v>
      </c>
      <c r="B24" s="1053"/>
      <c r="C24" s="67"/>
      <c r="D24" s="303"/>
      <c r="E24" s="240"/>
      <c r="F24" s="352"/>
      <c r="G24" s="303"/>
      <c r="H24" s="303"/>
      <c r="I24" s="1095"/>
      <c r="J24" s="1095"/>
      <c r="K24" s="1095"/>
      <c r="L24" s="1095"/>
      <c r="M24" s="1095"/>
      <c r="N24" s="1095"/>
      <c r="O24" s="1095"/>
      <c r="P24" s="1095"/>
      <c r="Q24" s="1095"/>
      <c r="R24" s="1095"/>
      <c r="S24" s="1095"/>
      <c r="T24" s="1095"/>
      <c r="U24" s="323"/>
    </row>
    <row r="25" spans="1:21">
      <c r="A25" s="1062" t="s">
        <v>497</v>
      </c>
      <c r="B25" s="1053"/>
      <c r="C25" s="303"/>
      <c r="D25" s="303"/>
      <c r="E25" s="240"/>
      <c r="F25" s="352"/>
      <c r="G25" s="303"/>
      <c r="H25" s="303"/>
      <c r="I25" s="1095"/>
      <c r="J25" s="1095"/>
      <c r="K25" s="1095"/>
      <c r="L25" s="1095"/>
      <c r="M25" s="1095"/>
      <c r="N25" s="1095"/>
      <c r="O25" s="1095"/>
      <c r="P25" s="1095"/>
      <c r="Q25" s="1095"/>
      <c r="R25" s="1095"/>
      <c r="S25" s="1095"/>
      <c r="T25" s="1095"/>
      <c r="U25" s="323"/>
    </row>
    <row r="26" spans="1:21" ht="18.75" customHeight="1">
      <c r="A26" s="1061" t="s">
        <v>498</v>
      </c>
      <c r="B26" s="1053"/>
      <c r="C26" s="303"/>
      <c r="D26" s="303"/>
      <c r="E26" s="66"/>
      <c r="F26" s="1088"/>
      <c r="G26" s="66"/>
      <c r="H26" s="303"/>
      <c r="I26" s="1095"/>
      <c r="J26" s="1095"/>
      <c r="K26" s="1095"/>
      <c r="L26" s="1097"/>
      <c r="M26" s="1095"/>
      <c r="N26" s="1096"/>
      <c r="O26" s="1095"/>
      <c r="P26" s="1095"/>
      <c r="Q26" s="1095"/>
      <c r="R26" s="1097"/>
      <c r="S26" s="1097"/>
      <c r="T26" s="1096"/>
      <c r="U26" s="323"/>
    </row>
    <row r="27" spans="1:21" ht="21" customHeight="1">
      <c r="A27" s="1062" t="s">
        <v>499</v>
      </c>
      <c r="B27" s="1053"/>
      <c r="C27" s="303"/>
      <c r="D27" s="303"/>
      <c r="E27" s="1440" t="s">
        <v>480</v>
      </c>
      <c r="F27" s="1570">
        <v>4800</v>
      </c>
      <c r="G27" s="303" t="s">
        <v>77</v>
      </c>
      <c r="H27" s="303"/>
      <c r="I27" s="1095"/>
      <c r="J27" s="1095"/>
      <c r="K27" s="1095"/>
      <c r="L27" s="1097"/>
      <c r="M27" s="1095"/>
      <c r="N27" s="1568">
        <v>2400</v>
      </c>
      <c r="O27" s="1095"/>
      <c r="P27" s="1095"/>
      <c r="Q27" s="1095"/>
      <c r="R27" s="1097"/>
      <c r="S27" s="1097"/>
      <c r="T27" s="1568">
        <v>2400</v>
      </c>
      <c r="U27" s="323"/>
    </row>
    <row r="28" spans="1:21" ht="21" customHeight="1">
      <c r="A28" s="1062" t="s">
        <v>500</v>
      </c>
      <c r="B28" s="1053"/>
      <c r="C28" s="303"/>
      <c r="D28" s="303"/>
      <c r="E28" s="1440"/>
      <c r="F28" s="1570"/>
      <c r="G28" s="303"/>
      <c r="H28" s="303"/>
      <c r="I28" s="1095"/>
      <c r="J28" s="1095"/>
      <c r="K28" s="1095"/>
      <c r="L28" s="1095"/>
      <c r="M28" s="1095"/>
      <c r="N28" s="1568"/>
      <c r="O28" s="1095"/>
      <c r="P28" s="1095"/>
      <c r="Q28" s="1095"/>
      <c r="R28" s="1095"/>
      <c r="S28" s="1095"/>
      <c r="T28" s="1568"/>
      <c r="U28" s="323"/>
    </row>
    <row r="29" spans="1:21" ht="262.5">
      <c r="A29" s="1065" t="s">
        <v>1469</v>
      </c>
      <c r="B29" s="1053"/>
      <c r="C29" s="335" t="s">
        <v>502</v>
      </c>
      <c r="D29" s="335" t="s">
        <v>503</v>
      </c>
      <c r="E29" s="240" t="s">
        <v>1470</v>
      </c>
      <c r="F29" s="829">
        <v>4800</v>
      </c>
      <c r="G29" s="303" t="s">
        <v>77</v>
      </c>
      <c r="H29" s="1104" t="s">
        <v>504</v>
      </c>
      <c r="I29" s="1095"/>
      <c r="J29" s="1095"/>
      <c r="K29" s="1095">
        <v>1600</v>
      </c>
      <c r="L29" s="1095"/>
      <c r="M29" s="1095"/>
      <c r="N29" s="1095">
        <v>1600</v>
      </c>
      <c r="O29" s="1095"/>
      <c r="P29" s="1095"/>
      <c r="Q29" s="1095"/>
      <c r="R29" s="1095">
        <v>1600</v>
      </c>
      <c r="S29" s="1095"/>
      <c r="T29" s="1095"/>
      <c r="U29" s="67" t="s">
        <v>505</v>
      </c>
    </row>
    <row r="30" spans="1:21" ht="93.75">
      <c r="A30" s="1065" t="s">
        <v>1471</v>
      </c>
      <c r="B30" s="1053"/>
      <c r="C30" s="240" t="s">
        <v>506</v>
      </c>
      <c r="D30" s="1066" t="s">
        <v>507</v>
      </c>
      <c r="E30" s="240" t="s">
        <v>1472</v>
      </c>
      <c r="F30" s="905">
        <v>32000</v>
      </c>
      <c r="G30" s="303" t="s">
        <v>77</v>
      </c>
      <c r="H30" s="1067">
        <v>22798</v>
      </c>
      <c r="I30" s="1095"/>
      <c r="J30" s="1095"/>
      <c r="K30" s="1095"/>
      <c r="L30" s="1095"/>
      <c r="M30" s="1095"/>
      <c r="N30" s="1098"/>
      <c r="O30" s="1095"/>
      <c r="P30" s="1095"/>
      <c r="Q30" s="1095">
        <v>32000</v>
      </c>
      <c r="R30" s="1095"/>
      <c r="S30" s="1095"/>
      <c r="T30" s="1095"/>
      <c r="U30" s="67" t="s">
        <v>505</v>
      </c>
    </row>
    <row r="31" spans="1:21">
      <c r="A31" s="240"/>
      <c r="B31" s="1053"/>
      <c r="C31" s="303"/>
      <c r="D31" s="303"/>
      <c r="E31" s="1048" t="s">
        <v>1065</v>
      </c>
      <c r="F31" s="1068">
        <f>SUM(F8:F30)</f>
        <v>72800</v>
      </c>
      <c r="G31" s="1051"/>
      <c r="H31" s="1105"/>
      <c r="I31" s="1100"/>
      <c r="J31" s="1100"/>
      <c r="K31" s="1100"/>
      <c r="L31" s="1100"/>
      <c r="M31" s="1100"/>
      <c r="N31" s="1100"/>
      <c r="O31" s="1100"/>
      <c r="P31" s="1100"/>
      <c r="Q31" s="1100"/>
      <c r="R31" s="1100"/>
      <c r="S31" s="1100"/>
      <c r="T31" s="1100"/>
      <c r="U31" s="1046"/>
    </row>
    <row r="32" spans="1:21">
      <c r="A32" s="77" t="s">
        <v>508</v>
      </c>
      <c r="B32" s="1053"/>
      <c r="C32" s="303"/>
      <c r="D32" s="303"/>
      <c r="E32" s="240"/>
      <c r="F32" s="352"/>
      <c r="G32" s="303"/>
      <c r="H32" s="303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323"/>
    </row>
    <row r="33" spans="1:21" ht="75">
      <c r="A33" s="1440" t="s">
        <v>1473</v>
      </c>
      <c r="B33" s="1053"/>
      <c r="C33" s="1440" t="s">
        <v>509</v>
      </c>
      <c r="D33" s="1106" t="s">
        <v>510</v>
      </c>
      <c r="E33" s="240" t="s">
        <v>1474</v>
      </c>
      <c r="F33" s="1069">
        <v>4000</v>
      </c>
      <c r="G33" s="303" t="s">
        <v>511</v>
      </c>
      <c r="H33" s="303" t="s">
        <v>512</v>
      </c>
      <c r="I33" s="1095"/>
      <c r="J33" s="1095"/>
      <c r="K33" s="1095">
        <v>4000</v>
      </c>
      <c r="L33" s="1095"/>
      <c r="M33" s="1095"/>
      <c r="N33" s="1095">
        <v>4000</v>
      </c>
      <c r="O33" s="1095"/>
      <c r="P33" s="1095"/>
      <c r="Q33" s="1095">
        <v>4000</v>
      </c>
      <c r="R33" s="1095"/>
      <c r="S33" s="1095"/>
      <c r="T33" s="1095">
        <v>4000</v>
      </c>
      <c r="U33" s="323" t="s">
        <v>475</v>
      </c>
    </row>
    <row r="34" spans="1:21" ht="75">
      <c r="A34" s="1440"/>
      <c r="B34" s="1053"/>
      <c r="C34" s="1440"/>
      <c r="D34" s="1066"/>
      <c r="E34" s="240" t="s">
        <v>1475</v>
      </c>
      <c r="F34" s="1107">
        <v>12000</v>
      </c>
      <c r="G34" s="362"/>
      <c r="H34" s="303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323"/>
    </row>
    <row r="35" spans="1:21">
      <c r="A35" s="240"/>
      <c r="B35" s="1053"/>
      <c r="C35" s="240"/>
      <c r="D35" s="1066"/>
      <c r="E35" s="1046" t="s">
        <v>1065</v>
      </c>
      <c r="F35" s="1070">
        <f>SUM(F33:F34)</f>
        <v>16000</v>
      </c>
      <c r="G35" s="1048"/>
      <c r="H35" s="1046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46"/>
    </row>
    <row r="36" spans="1:21">
      <c r="A36" s="1108" t="s">
        <v>1476</v>
      </c>
      <c r="B36" s="1053"/>
      <c r="C36" s="303"/>
      <c r="D36" s="1066"/>
      <c r="E36" s="240"/>
      <c r="F36" s="905"/>
      <c r="G36" s="362"/>
      <c r="H36" s="303"/>
      <c r="I36" s="1095"/>
      <c r="J36" s="1095"/>
      <c r="K36" s="1095"/>
      <c r="L36" s="1095"/>
      <c r="M36" s="1095"/>
      <c r="N36" s="1095"/>
      <c r="O36" s="1095"/>
      <c r="P36" s="1095"/>
      <c r="Q36" s="1095"/>
      <c r="R36" s="1095"/>
      <c r="S36" s="1095"/>
      <c r="T36" s="1095"/>
      <c r="U36" s="1053" t="s">
        <v>475</v>
      </c>
    </row>
    <row r="37" spans="1:21" ht="42">
      <c r="A37" s="1071" t="s">
        <v>513</v>
      </c>
      <c r="B37" s="1053"/>
      <c r="C37" s="303" t="s">
        <v>514</v>
      </c>
      <c r="D37" s="1066" t="s">
        <v>515</v>
      </c>
      <c r="E37" s="240" t="s">
        <v>1477</v>
      </c>
      <c r="F37" s="1109">
        <v>6400</v>
      </c>
      <c r="G37" s="303" t="s">
        <v>77</v>
      </c>
      <c r="H37" s="1067">
        <v>22678</v>
      </c>
      <c r="I37" s="1095"/>
      <c r="J37" s="1095"/>
      <c r="K37" s="1095"/>
      <c r="L37" s="1095"/>
      <c r="M37" s="1095">
        <v>9600</v>
      </c>
      <c r="N37" s="1095"/>
      <c r="O37" s="1095"/>
      <c r="P37" s="1095"/>
      <c r="Q37" s="1095"/>
      <c r="R37" s="1095"/>
      <c r="S37" s="1095"/>
      <c r="T37" s="1095"/>
      <c r="U37" s="1053"/>
    </row>
    <row r="38" spans="1:21" ht="56.25">
      <c r="A38" s="1071"/>
      <c r="B38" s="1053"/>
      <c r="C38" s="303"/>
      <c r="D38" s="1066"/>
      <c r="E38" s="240" t="s">
        <v>1478</v>
      </c>
      <c r="F38" s="1110">
        <v>3200</v>
      </c>
      <c r="G38" s="362"/>
      <c r="H38" s="303"/>
      <c r="I38" s="1095"/>
      <c r="J38" s="1095"/>
      <c r="K38" s="1095"/>
      <c r="L38" s="1095"/>
      <c r="M38" s="1095"/>
      <c r="N38" s="1095"/>
      <c r="O38" s="1095"/>
      <c r="P38" s="1095"/>
      <c r="Q38" s="1095"/>
      <c r="R38" s="1095"/>
      <c r="S38" s="1095"/>
      <c r="T38" s="1095"/>
      <c r="U38" s="1053"/>
    </row>
    <row r="39" spans="1:21">
      <c r="A39" s="1071"/>
      <c r="B39" s="1053"/>
      <c r="C39" s="303"/>
      <c r="D39" s="1066"/>
      <c r="E39" s="1046" t="s">
        <v>1065</v>
      </c>
      <c r="F39" s="336">
        <f>SUM(F37:F38)</f>
        <v>9600</v>
      </c>
      <c r="G39" s="1048"/>
      <c r="H39" s="1046"/>
      <c r="I39" s="1099"/>
      <c r="J39" s="1099"/>
      <c r="K39" s="1099"/>
      <c r="L39" s="1099"/>
      <c r="M39" s="1099"/>
      <c r="N39" s="1099"/>
      <c r="O39" s="1099"/>
      <c r="P39" s="1099"/>
      <c r="Q39" s="1099"/>
      <c r="R39" s="1099"/>
      <c r="S39" s="1099"/>
      <c r="T39" s="1099"/>
      <c r="U39" s="1048"/>
    </row>
    <row r="40" spans="1:21" ht="56.25">
      <c r="A40" s="1071" t="s">
        <v>516</v>
      </c>
      <c r="B40" s="1053"/>
      <c r="C40" s="303" t="s">
        <v>514</v>
      </c>
      <c r="D40" s="1106" t="s">
        <v>517</v>
      </c>
      <c r="E40" s="240" t="s">
        <v>1479</v>
      </c>
      <c r="F40" s="1111">
        <v>4000</v>
      </c>
      <c r="G40" s="303" t="s">
        <v>518</v>
      </c>
      <c r="H40" s="1067">
        <v>22647</v>
      </c>
      <c r="I40" s="1095"/>
      <c r="J40" s="1095"/>
      <c r="K40" s="1095"/>
      <c r="L40" s="1095">
        <v>31350</v>
      </c>
      <c r="M40" s="1095"/>
      <c r="N40" s="1095"/>
      <c r="O40" s="1095"/>
      <c r="P40" s="1095"/>
      <c r="Q40" s="1095"/>
      <c r="R40" s="1095"/>
      <c r="S40" s="1095"/>
      <c r="T40" s="1095"/>
      <c r="U40" s="67"/>
    </row>
    <row r="41" spans="1:21" ht="56.25">
      <c r="A41" s="1071"/>
      <c r="B41" s="1053"/>
      <c r="C41" s="303"/>
      <c r="D41" s="1066"/>
      <c r="E41" s="240" t="s">
        <v>1480</v>
      </c>
      <c r="F41" s="1112">
        <v>2000</v>
      </c>
      <c r="G41" s="362"/>
      <c r="H41" s="303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67"/>
    </row>
    <row r="42" spans="1:21" ht="37.5">
      <c r="A42" s="1071"/>
      <c r="B42" s="1053"/>
      <c r="C42" s="303"/>
      <c r="D42" s="1066"/>
      <c r="E42" s="240" t="s">
        <v>1481</v>
      </c>
      <c r="F42" s="343">
        <v>3000</v>
      </c>
      <c r="G42" s="362"/>
      <c r="H42" s="303"/>
      <c r="I42" s="1095"/>
      <c r="J42" s="1095"/>
      <c r="K42" s="1095"/>
      <c r="L42" s="1095"/>
      <c r="M42" s="1095"/>
      <c r="N42" s="1095"/>
      <c r="O42" s="1095"/>
      <c r="P42" s="1095"/>
      <c r="Q42" s="1095"/>
      <c r="R42" s="1095"/>
      <c r="S42" s="1095"/>
      <c r="T42" s="1095"/>
      <c r="U42" s="67"/>
    </row>
    <row r="43" spans="1:21" ht="37.5">
      <c r="A43" s="1071"/>
      <c r="B43" s="1053"/>
      <c r="C43" s="303"/>
      <c r="D43" s="1071"/>
      <c r="E43" s="240" t="s">
        <v>1482</v>
      </c>
      <c r="F43" s="1112">
        <v>2150</v>
      </c>
      <c r="G43" s="362"/>
      <c r="H43" s="303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67"/>
    </row>
    <row r="44" spans="1:21" ht="56.25">
      <c r="A44" s="1071"/>
      <c r="B44" s="1053"/>
      <c r="C44" s="303"/>
      <c r="D44" s="1071"/>
      <c r="E44" s="240" t="s">
        <v>1483</v>
      </c>
      <c r="F44" s="1112">
        <v>4000</v>
      </c>
      <c r="G44" s="362"/>
      <c r="H44" s="303"/>
      <c r="I44" s="1095"/>
      <c r="J44" s="1095"/>
      <c r="K44" s="1095"/>
      <c r="L44" s="1095"/>
      <c r="M44" s="1095"/>
      <c r="N44" s="1095"/>
      <c r="O44" s="1095"/>
      <c r="P44" s="1095"/>
      <c r="Q44" s="1095"/>
      <c r="R44" s="1095"/>
      <c r="S44" s="1095"/>
      <c r="T44" s="1095"/>
      <c r="U44" s="67"/>
    </row>
    <row r="45" spans="1:21" ht="56.25">
      <c r="A45" s="1071"/>
      <c r="B45" s="1053"/>
      <c r="C45" s="303"/>
      <c r="D45" s="1071"/>
      <c r="E45" s="240" t="s">
        <v>1484</v>
      </c>
      <c r="F45" s="1112">
        <v>8400</v>
      </c>
      <c r="G45" s="362"/>
      <c r="H45" s="303"/>
      <c r="I45" s="1095"/>
      <c r="J45" s="1095"/>
      <c r="K45" s="1095"/>
      <c r="L45" s="1095"/>
      <c r="M45" s="1095"/>
      <c r="N45" s="1095"/>
      <c r="O45" s="1095"/>
      <c r="P45" s="1095"/>
      <c r="Q45" s="1095"/>
      <c r="R45" s="1095"/>
      <c r="S45" s="1095"/>
      <c r="T45" s="1095"/>
      <c r="U45" s="67"/>
    </row>
    <row r="46" spans="1:21" ht="56.25">
      <c r="A46" s="1071"/>
      <c r="B46" s="1053"/>
      <c r="C46" s="303"/>
      <c r="D46" s="1071"/>
      <c r="E46" s="240" t="s">
        <v>1485</v>
      </c>
      <c r="F46" s="1112">
        <v>7800</v>
      </c>
      <c r="G46" s="362"/>
      <c r="H46" s="303"/>
      <c r="I46" s="1095"/>
      <c r="J46" s="1095"/>
      <c r="K46" s="1095"/>
      <c r="L46" s="1095"/>
      <c r="M46" s="1095"/>
      <c r="N46" s="1095"/>
      <c r="O46" s="1095"/>
      <c r="P46" s="1095"/>
      <c r="Q46" s="1095"/>
      <c r="R46" s="1095"/>
      <c r="S46" s="1095"/>
      <c r="T46" s="1095"/>
      <c r="U46" s="67"/>
    </row>
    <row r="47" spans="1:21">
      <c r="A47" s="1071"/>
      <c r="B47" s="1053"/>
      <c r="C47" s="303"/>
      <c r="D47" s="1106"/>
      <c r="E47" s="1048" t="s">
        <v>1065</v>
      </c>
      <c r="F47" s="1113">
        <f>SUM(F40:F46)</f>
        <v>31350</v>
      </c>
      <c r="G47" s="1089"/>
      <c r="H47" s="1114"/>
      <c r="I47" s="1100"/>
      <c r="J47" s="1100"/>
      <c r="K47" s="1100"/>
      <c r="L47" s="1100"/>
      <c r="M47" s="1100"/>
      <c r="N47" s="1100"/>
      <c r="O47" s="1100"/>
      <c r="P47" s="1100"/>
      <c r="Q47" s="1100"/>
      <c r="R47" s="1100"/>
      <c r="S47" s="1100"/>
      <c r="T47" s="1100"/>
      <c r="U47" s="1052"/>
    </row>
    <row r="48" spans="1:21">
      <c r="A48" s="1071"/>
      <c r="B48" s="1053"/>
      <c r="C48" s="303"/>
      <c r="D48" s="1106"/>
      <c r="E48" s="1048" t="s">
        <v>1092</v>
      </c>
      <c r="F48" s="1113">
        <f>SUM(F35,F39,F47)</f>
        <v>56950</v>
      </c>
      <c r="G48" s="1089"/>
      <c r="H48" s="1114"/>
      <c r="I48" s="1100"/>
      <c r="J48" s="1100"/>
      <c r="K48" s="1100"/>
      <c r="L48" s="1100"/>
      <c r="M48" s="1100"/>
      <c r="N48" s="1100"/>
      <c r="O48" s="1100"/>
      <c r="P48" s="1100"/>
      <c r="Q48" s="1100"/>
      <c r="R48" s="1100"/>
      <c r="S48" s="1100"/>
      <c r="T48" s="1100"/>
      <c r="U48" s="1052"/>
    </row>
    <row r="49" spans="1:21">
      <c r="A49" s="1573" t="s">
        <v>519</v>
      </c>
      <c r="B49" s="1573"/>
      <c r="C49" s="1573"/>
      <c r="D49" s="1573"/>
      <c r="E49" s="1573"/>
      <c r="F49" s="1072"/>
      <c r="G49" s="362"/>
      <c r="H49" s="303"/>
      <c r="I49" s="1095"/>
      <c r="J49" s="1095"/>
      <c r="K49" s="1095"/>
      <c r="L49" s="1095"/>
      <c r="M49" s="1095"/>
      <c r="N49" s="1095"/>
      <c r="O49" s="1095"/>
      <c r="P49" s="1095"/>
      <c r="Q49" s="1095"/>
      <c r="R49" s="1095"/>
      <c r="S49" s="1095"/>
      <c r="T49" s="1095"/>
      <c r="U49" s="67"/>
    </row>
    <row r="50" spans="1:21">
      <c r="A50" s="77" t="s">
        <v>520</v>
      </c>
      <c r="B50" s="1053"/>
      <c r="C50" s="335"/>
      <c r="D50" s="335"/>
      <c r="E50" s="1053"/>
      <c r="F50" s="1115"/>
      <c r="G50" s="362"/>
      <c r="H50" s="303"/>
      <c r="I50" s="1095"/>
      <c r="J50" s="1095"/>
      <c r="K50" s="1095"/>
      <c r="L50" s="1095"/>
      <c r="M50" s="1095"/>
      <c r="N50" s="1095"/>
      <c r="O50" s="1095"/>
      <c r="P50" s="1095"/>
      <c r="Q50" s="1095"/>
      <c r="R50" s="1095"/>
      <c r="S50" s="1095"/>
      <c r="T50" s="1095"/>
      <c r="U50" s="67"/>
    </row>
    <row r="51" spans="1:21" s="816" customFormat="1" ht="56.25">
      <c r="A51" s="1574" t="s">
        <v>521</v>
      </c>
      <c r="B51" s="1440"/>
      <c r="C51" s="1440" t="s">
        <v>522</v>
      </c>
      <c r="D51" s="1440" t="s">
        <v>523</v>
      </c>
      <c r="E51" s="333" t="s">
        <v>1486</v>
      </c>
      <c r="F51" s="194">
        <v>8000</v>
      </c>
      <c r="G51" s="1571" t="s">
        <v>518</v>
      </c>
      <c r="H51" s="1571" t="s">
        <v>524</v>
      </c>
      <c r="I51" s="1575"/>
      <c r="J51" s="1575"/>
      <c r="K51" s="1575"/>
      <c r="L51" s="1575"/>
      <c r="M51" s="1575"/>
      <c r="N51" s="1575"/>
      <c r="O51" s="1575"/>
      <c r="P51" s="1575"/>
      <c r="Q51" s="1575">
        <v>20400</v>
      </c>
      <c r="R51" s="1575"/>
      <c r="S51" s="1575"/>
      <c r="T51" s="1575"/>
      <c r="U51" s="1571" t="s">
        <v>501</v>
      </c>
    </row>
    <row r="52" spans="1:21" s="816" customFormat="1" ht="56.25">
      <c r="A52" s="1574"/>
      <c r="B52" s="1440"/>
      <c r="C52" s="1440"/>
      <c r="D52" s="1440"/>
      <c r="E52" s="333" t="s">
        <v>1487</v>
      </c>
      <c r="F52" s="194">
        <v>4000</v>
      </c>
      <c r="G52" s="1571"/>
      <c r="H52" s="1571"/>
      <c r="I52" s="1575"/>
      <c r="J52" s="1575"/>
      <c r="K52" s="1575"/>
      <c r="L52" s="1575"/>
      <c r="M52" s="1575"/>
      <c r="N52" s="1575"/>
      <c r="O52" s="1575"/>
      <c r="P52" s="1575"/>
      <c r="Q52" s="1575"/>
      <c r="R52" s="1575"/>
      <c r="S52" s="1575"/>
      <c r="T52" s="1575"/>
      <c r="U52" s="1571"/>
    </row>
    <row r="53" spans="1:21" s="816" customFormat="1" ht="56.25">
      <c r="A53" s="1574"/>
      <c r="B53" s="1440"/>
      <c r="C53" s="1440"/>
      <c r="D53" s="1440"/>
      <c r="E53" s="333" t="s">
        <v>1488</v>
      </c>
      <c r="F53" s="194">
        <v>8400</v>
      </c>
      <c r="G53" s="1571"/>
      <c r="H53" s="1571"/>
      <c r="I53" s="1575"/>
      <c r="J53" s="1575"/>
      <c r="K53" s="1575"/>
      <c r="L53" s="1575"/>
      <c r="M53" s="1575"/>
      <c r="N53" s="1575"/>
      <c r="O53" s="1575"/>
      <c r="P53" s="1575"/>
      <c r="Q53" s="1575"/>
      <c r="R53" s="1575"/>
      <c r="S53" s="1575"/>
      <c r="T53" s="1575"/>
      <c r="U53" s="1571"/>
    </row>
    <row r="54" spans="1:21" s="816" customFormat="1">
      <c r="A54" s="1574"/>
      <c r="B54" s="1440"/>
      <c r="C54" s="1440"/>
      <c r="D54" s="1440"/>
      <c r="E54" s="1048" t="s">
        <v>1065</v>
      </c>
      <c r="F54" s="1068">
        <f>SUM(F51:F53)</f>
        <v>20400</v>
      </c>
      <c r="G54" s="1075"/>
      <c r="H54" s="1049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49"/>
    </row>
    <row r="55" spans="1:21" s="816" customFormat="1" ht="56.25">
      <c r="A55" s="1574" t="s">
        <v>525</v>
      </c>
      <c r="B55" s="1440"/>
      <c r="C55" s="1440" t="s">
        <v>522</v>
      </c>
      <c r="D55" s="1440" t="s">
        <v>526</v>
      </c>
      <c r="E55" s="333" t="s">
        <v>1489</v>
      </c>
      <c r="F55" s="194">
        <v>18400</v>
      </c>
      <c r="G55" s="1571" t="s">
        <v>518</v>
      </c>
      <c r="H55" s="1571" t="s">
        <v>527</v>
      </c>
      <c r="I55" s="1575"/>
      <c r="J55" s="1575"/>
      <c r="K55" s="1575"/>
      <c r="L55" s="1575"/>
      <c r="M55" s="1575"/>
      <c r="N55" s="1575">
        <v>50000</v>
      </c>
      <c r="O55" s="1575"/>
      <c r="P55" s="1575"/>
      <c r="Q55" s="1575"/>
      <c r="R55" s="1575"/>
      <c r="S55" s="1575"/>
      <c r="T55" s="1575"/>
      <c r="U55" s="1571" t="s">
        <v>501</v>
      </c>
    </row>
    <row r="56" spans="1:21" s="816" customFormat="1" ht="56.25">
      <c r="A56" s="1574"/>
      <c r="B56" s="1440"/>
      <c r="C56" s="1440"/>
      <c r="D56" s="1440"/>
      <c r="E56" s="333" t="s">
        <v>1490</v>
      </c>
      <c r="F56" s="194">
        <v>9200</v>
      </c>
      <c r="G56" s="1571"/>
      <c r="H56" s="1571"/>
      <c r="I56" s="1575"/>
      <c r="J56" s="1575"/>
      <c r="K56" s="1575"/>
      <c r="L56" s="1575"/>
      <c r="M56" s="1575"/>
      <c r="N56" s="1575"/>
      <c r="O56" s="1575"/>
      <c r="P56" s="1575"/>
      <c r="Q56" s="1575"/>
      <c r="R56" s="1575"/>
      <c r="S56" s="1575"/>
      <c r="T56" s="1575"/>
      <c r="U56" s="1571"/>
    </row>
    <row r="57" spans="1:21" s="816" customFormat="1" ht="37.5">
      <c r="A57" s="1574"/>
      <c r="B57" s="1440"/>
      <c r="C57" s="1440"/>
      <c r="D57" s="1440"/>
      <c r="E57" s="333" t="s">
        <v>1491</v>
      </c>
      <c r="F57" s="194">
        <v>9200</v>
      </c>
      <c r="G57" s="1571"/>
      <c r="H57" s="1571"/>
      <c r="I57" s="1575"/>
      <c r="J57" s="1575"/>
      <c r="K57" s="1575"/>
      <c r="L57" s="1575"/>
      <c r="M57" s="1575"/>
      <c r="N57" s="1575"/>
      <c r="O57" s="1575"/>
      <c r="P57" s="1575"/>
      <c r="Q57" s="1575"/>
      <c r="R57" s="1575"/>
      <c r="S57" s="1575"/>
      <c r="T57" s="1575"/>
      <c r="U57" s="1571"/>
    </row>
    <row r="58" spans="1:21" s="816" customFormat="1">
      <c r="A58" s="1574"/>
      <c r="B58" s="1440"/>
      <c r="C58" s="1440"/>
      <c r="D58" s="1440"/>
      <c r="E58" s="333" t="s">
        <v>1492</v>
      </c>
      <c r="F58" s="194">
        <v>6000</v>
      </c>
      <c r="G58" s="1571"/>
      <c r="H58" s="1571"/>
      <c r="I58" s="1575"/>
      <c r="J58" s="1575"/>
      <c r="K58" s="1575"/>
      <c r="L58" s="1575"/>
      <c r="M58" s="1575"/>
      <c r="N58" s="1575"/>
      <c r="O58" s="1575"/>
      <c r="P58" s="1575"/>
      <c r="Q58" s="1575"/>
      <c r="R58" s="1575"/>
      <c r="S58" s="1575"/>
      <c r="T58" s="1575"/>
      <c r="U58" s="1571"/>
    </row>
    <row r="59" spans="1:21" s="816" customFormat="1">
      <c r="A59" s="1574"/>
      <c r="B59" s="1440"/>
      <c r="C59" s="1440"/>
      <c r="D59" s="1440"/>
      <c r="E59" s="1063" t="s">
        <v>1493</v>
      </c>
      <c r="F59" s="1073">
        <v>3600</v>
      </c>
      <c r="G59" s="1571"/>
      <c r="H59" s="1571"/>
      <c r="I59" s="1575"/>
      <c r="J59" s="1575"/>
      <c r="K59" s="1575"/>
      <c r="L59" s="1575"/>
      <c r="M59" s="1575"/>
      <c r="N59" s="1575"/>
      <c r="O59" s="1575"/>
      <c r="P59" s="1575"/>
      <c r="Q59" s="1575"/>
      <c r="R59" s="1575"/>
      <c r="S59" s="1575"/>
      <c r="T59" s="1575"/>
      <c r="U59" s="1571"/>
    </row>
    <row r="60" spans="1:21" s="816" customFormat="1" ht="37.5">
      <c r="A60" s="1574"/>
      <c r="B60" s="1440"/>
      <c r="C60" s="1440"/>
      <c r="D60" s="1440"/>
      <c r="E60" s="240" t="s">
        <v>1494</v>
      </c>
      <c r="F60" s="194">
        <v>3600</v>
      </c>
      <c r="G60" s="303"/>
      <c r="H60" s="303"/>
      <c r="I60" s="1098"/>
      <c r="J60" s="1098"/>
      <c r="K60" s="1098"/>
      <c r="L60" s="1098"/>
      <c r="M60" s="1098"/>
      <c r="N60" s="1098"/>
      <c r="O60" s="1098"/>
      <c r="P60" s="1098"/>
      <c r="Q60" s="1098"/>
      <c r="R60" s="1098"/>
      <c r="S60" s="1098"/>
      <c r="T60" s="1098"/>
      <c r="U60" s="303"/>
    </row>
    <row r="61" spans="1:21" s="816" customFormat="1">
      <c r="A61" s="1574"/>
      <c r="B61" s="1440"/>
      <c r="C61" s="1440"/>
      <c r="D61" s="1440"/>
      <c r="E61" s="75" t="s">
        <v>4</v>
      </c>
      <c r="F61" s="1074">
        <f>SUM(F55:F60)</f>
        <v>50000</v>
      </c>
      <c r="G61" s="1075"/>
      <c r="H61" s="1049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049"/>
    </row>
    <row r="62" spans="1:21" s="816" customFormat="1">
      <c r="A62" s="334"/>
      <c r="B62" s="240"/>
      <c r="C62" s="240"/>
      <c r="D62" s="240"/>
      <c r="E62" s="75" t="s">
        <v>139</v>
      </c>
      <c r="F62" s="1074">
        <f>SUM(F61,F54)</f>
        <v>70400</v>
      </c>
      <c r="G62" s="1075"/>
      <c r="H62" s="1049"/>
      <c r="I62" s="1101"/>
      <c r="J62" s="1101"/>
      <c r="K62" s="1101"/>
      <c r="L62" s="1101"/>
      <c r="M62" s="1101"/>
      <c r="N62" s="1101"/>
      <c r="O62" s="1101"/>
      <c r="P62" s="1101"/>
      <c r="Q62" s="1101"/>
      <c r="R62" s="1101"/>
      <c r="S62" s="1101"/>
      <c r="T62" s="1101"/>
      <c r="U62" s="1049"/>
    </row>
    <row r="63" spans="1:21" s="816" customFormat="1">
      <c r="A63" s="1576" t="s">
        <v>528</v>
      </c>
      <c r="B63" s="1576"/>
      <c r="C63" s="1576"/>
      <c r="D63" s="240"/>
      <c r="E63" s="1116"/>
      <c r="F63" s="1076"/>
      <c r="G63" s="240"/>
      <c r="H63" s="3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38"/>
    </row>
    <row r="64" spans="1:21" s="816" customFormat="1" ht="42">
      <c r="A64" s="1574" t="s">
        <v>529</v>
      </c>
      <c r="B64" s="1574"/>
      <c r="C64" s="67" t="s">
        <v>530</v>
      </c>
      <c r="D64" s="67" t="s">
        <v>1520</v>
      </c>
      <c r="E64" s="240" t="s">
        <v>1495</v>
      </c>
      <c r="F64" s="194">
        <v>1200</v>
      </c>
      <c r="G64" s="303" t="s">
        <v>77</v>
      </c>
      <c r="H64" s="303" t="s">
        <v>531</v>
      </c>
      <c r="I64" s="1098"/>
      <c r="J64" s="1098"/>
      <c r="K64" s="1098">
        <f>F65</f>
        <v>1200</v>
      </c>
      <c r="L64" s="1098"/>
      <c r="M64" s="1098"/>
      <c r="N64" s="1098"/>
      <c r="O64" s="1098"/>
      <c r="P64" s="1098"/>
      <c r="Q64" s="1098"/>
      <c r="R64" s="1098"/>
      <c r="S64" s="1098"/>
      <c r="T64" s="1098"/>
      <c r="U64" s="303" t="s">
        <v>475</v>
      </c>
    </row>
    <row r="65" spans="1:21" s="816" customFormat="1">
      <c r="A65" s="334"/>
      <c r="B65" s="240"/>
      <c r="C65" s="240"/>
      <c r="D65" s="240"/>
      <c r="E65" s="75" t="s">
        <v>1065</v>
      </c>
      <c r="F65" s="1117">
        <f>SUM(F64)</f>
        <v>1200</v>
      </c>
      <c r="G65" s="1051"/>
      <c r="H65" s="1051"/>
      <c r="I65" s="1101"/>
      <c r="J65" s="1101"/>
      <c r="K65" s="1101"/>
      <c r="L65" s="1101"/>
      <c r="M65" s="1101"/>
      <c r="N65" s="1101"/>
      <c r="O65" s="1101"/>
      <c r="P65" s="1101"/>
      <c r="Q65" s="1101"/>
      <c r="R65" s="1101"/>
      <c r="S65" s="1101"/>
      <c r="T65" s="1101"/>
      <c r="U65" s="1051"/>
    </row>
    <row r="66" spans="1:21" s="816" customFormat="1" ht="57.75" customHeight="1">
      <c r="A66" s="333" t="s">
        <v>532</v>
      </c>
      <c r="B66" s="67"/>
      <c r="C66" s="67" t="s">
        <v>533</v>
      </c>
      <c r="D66" s="67" t="s">
        <v>534</v>
      </c>
      <c r="E66" s="333"/>
      <c r="F66" s="194"/>
      <c r="G66" s="67" t="s">
        <v>77</v>
      </c>
      <c r="H66" s="67" t="s">
        <v>535</v>
      </c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303" t="s">
        <v>505</v>
      </c>
    </row>
    <row r="67" spans="1:21" s="816" customFormat="1" ht="43.5" customHeight="1">
      <c r="A67" s="334"/>
      <c r="B67" s="240"/>
      <c r="C67" s="240" t="s">
        <v>536</v>
      </c>
      <c r="D67" s="240" t="s">
        <v>537</v>
      </c>
      <c r="E67" s="333" t="s">
        <v>1518</v>
      </c>
      <c r="F67" s="61">
        <v>3240</v>
      </c>
      <c r="G67" s="303"/>
      <c r="H67" s="303" t="s">
        <v>538</v>
      </c>
      <c r="I67" s="1098"/>
      <c r="J67" s="1098"/>
      <c r="K67" s="1098"/>
      <c r="L67" s="1098"/>
      <c r="M67" s="1119">
        <v>1440</v>
      </c>
      <c r="N67" s="1098"/>
      <c r="O67" s="1098"/>
      <c r="P67" s="1098"/>
      <c r="Q67" s="1098"/>
      <c r="R67" s="1098"/>
      <c r="S67" s="1119">
        <v>1800</v>
      </c>
      <c r="T67" s="1098"/>
      <c r="U67" s="67"/>
    </row>
    <row r="68" spans="1:21" s="816" customFormat="1" ht="42">
      <c r="A68" s="334"/>
      <c r="B68" s="240"/>
      <c r="C68" s="240" t="s">
        <v>1519</v>
      </c>
      <c r="D68" s="240" t="s">
        <v>539</v>
      </c>
      <c r="E68" s="333" t="s">
        <v>540</v>
      </c>
      <c r="F68" s="61">
        <v>6000</v>
      </c>
      <c r="G68" s="303"/>
      <c r="H68" s="303" t="s">
        <v>538</v>
      </c>
      <c r="I68" s="1098"/>
      <c r="J68" s="1098"/>
      <c r="K68" s="1098"/>
      <c r="L68" s="1098"/>
      <c r="M68" s="1098"/>
      <c r="N68" s="1098"/>
      <c r="O68" s="1098"/>
      <c r="P68" s="1098"/>
      <c r="Q68" s="1098"/>
      <c r="R68" s="1098"/>
      <c r="S68" s="1098">
        <v>6000</v>
      </c>
      <c r="T68" s="1098"/>
      <c r="U68" s="67"/>
    </row>
    <row r="69" spans="1:21" s="816" customFormat="1">
      <c r="A69" s="334"/>
      <c r="B69" s="240"/>
      <c r="C69" s="240"/>
      <c r="D69" s="240"/>
      <c r="E69" s="75" t="s">
        <v>1065</v>
      </c>
      <c r="F69" s="1057">
        <f>SUM(F67:F68)</f>
        <v>9240</v>
      </c>
      <c r="G69" s="1051"/>
      <c r="H69" s="1051"/>
      <c r="I69" s="1101"/>
      <c r="J69" s="1101"/>
      <c r="K69" s="1101"/>
      <c r="L69" s="1101"/>
      <c r="M69" s="1101"/>
      <c r="N69" s="1101"/>
      <c r="O69" s="1101"/>
      <c r="P69" s="1101"/>
      <c r="Q69" s="1101"/>
      <c r="R69" s="1101"/>
      <c r="S69" s="1101"/>
      <c r="T69" s="1101"/>
      <c r="U69" s="1052"/>
    </row>
    <row r="70" spans="1:21" s="816" customFormat="1" ht="48.75">
      <c r="A70" s="1574" t="s">
        <v>541</v>
      </c>
      <c r="B70" s="1440"/>
      <c r="C70" s="1440"/>
      <c r="D70" s="1440" t="s">
        <v>542</v>
      </c>
      <c r="E70" s="333" t="s">
        <v>1496</v>
      </c>
      <c r="F70" s="194">
        <v>4500</v>
      </c>
      <c r="G70" s="1571" t="s">
        <v>77</v>
      </c>
      <c r="H70" s="1571" t="s">
        <v>543</v>
      </c>
      <c r="I70" s="1118"/>
      <c r="J70" s="1118">
        <v>42160</v>
      </c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571" t="s">
        <v>505</v>
      </c>
    </row>
    <row r="71" spans="1:21" s="816" customFormat="1" ht="56.25">
      <c r="A71" s="1574"/>
      <c r="B71" s="1440"/>
      <c r="C71" s="1440"/>
      <c r="D71" s="1440"/>
      <c r="E71" s="333" t="s">
        <v>1497</v>
      </c>
      <c r="F71" s="194">
        <v>3060</v>
      </c>
      <c r="G71" s="1571"/>
      <c r="H71" s="1571"/>
      <c r="I71" s="1118"/>
      <c r="J71" s="1118"/>
      <c r="K71" s="1118"/>
      <c r="L71" s="1118"/>
      <c r="M71" s="1118"/>
      <c r="N71" s="1118"/>
      <c r="O71" s="1118"/>
      <c r="P71" s="1118"/>
      <c r="Q71" s="1118"/>
      <c r="R71" s="1118"/>
      <c r="S71" s="1118"/>
      <c r="T71" s="1118"/>
      <c r="U71" s="1571"/>
    </row>
    <row r="72" spans="1:21" s="816" customFormat="1" ht="37.5">
      <c r="A72" s="1574"/>
      <c r="B72" s="1440"/>
      <c r="C72" s="1440"/>
      <c r="D72" s="1440"/>
      <c r="E72" s="333" t="s">
        <v>1498</v>
      </c>
      <c r="F72" s="194">
        <v>1700</v>
      </c>
      <c r="G72" s="1571"/>
      <c r="H72" s="1571"/>
      <c r="I72" s="1118"/>
      <c r="J72" s="1118"/>
      <c r="K72" s="1118"/>
      <c r="L72" s="1118"/>
      <c r="M72" s="1118"/>
      <c r="N72" s="1118"/>
      <c r="O72" s="1118"/>
      <c r="P72" s="1118"/>
      <c r="Q72" s="1118"/>
      <c r="R72" s="1118"/>
      <c r="S72" s="1118"/>
      <c r="T72" s="1118"/>
      <c r="U72" s="1571"/>
    </row>
    <row r="73" spans="1:21" s="816" customFormat="1" ht="37.5">
      <c r="A73" s="1574"/>
      <c r="B73" s="1440"/>
      <c r="C73" s="1440"/>
      <c r="D73" s="1440"/>
      <c r="E73" s="333" t="s">
        <v>1499</v>
      </c>
      <c r="F73" s="194">
        <v>2400</v>
      </c>
      <c r="G73" s="1571"/>
      <c r="H73" s="1571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571"/>
    </row>
    <row r="74" spans="1:21" s="816" customFormat="1" ht="37.5">
      <c r="A74" s="1574"/>
      <c r="B74" s="1440"/>
      <c r="C74" s="1440"/>
      <c r="D74" s="1440"/>
      <c r="E74" s="333" t="s">
        <v>1500</v>
      </c>
      <c r="F74" s="194">
        <v>12000</v>
      </c>
      <c r="G74" s="1571"/>
      <c r="H74" s="1571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571"/>
    </row>
    <row r="75" spans="1:21" s="816" customFormat="1" ht="37.5">
      <c r="A75" s="1574"/>
      <c r="B75" s="1440"/>
      <c r="C75" s="1440"/>
      <c r="D75" s="1440"/>
      <c r="E75" s="333" t="s">
        <v>1501</v>
      </c>
      <c r="F75" s="194">
        <v>5300</v>
      </c>
      <c r="G75" s="1571"/>
      <c r="H75" s="1571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  <c r="T75" s="1118"/>
      <c r="U75" s="1571"/>
    </row>
    <row r="76" spans="1:21" s="816" customFormat="1" ht="56.25">
      <c r="A76" s="1574"/>
      <c r="B76" s="1440"/>
      <c r="C76" s="1440"/>
      <c r="D76" s="1440"/>
      <c r="E76" s="333" t="s">
        <v>1502</v>
      </c>
      <c r="F76" s="194">
        <v>900</v>
      </c>
      <c r="G76" s="1571"/>
      <c r="H76" s="1571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  <c r="T76" s="1118"/>
      <c r="U76" s="1571"/>
    </row>
    <row r="77" spans="1:21" s="816" customFormat="1" ht="56.25">
      <c r="A77" s="1574"/>
      <c r="B77" s="1440"/>
      <c r="C77" s="1440"/>
      <c r="D77" s="1440"/>
      <c r="E77" s="333" t="s">
        <v>1503</v>
      </c>
      <c r="F77" s="194">
        <v>7500</v>
      </c>
      <c r="G77" s="1571"/>
      <c r="H77" s="1571"/>
      <c r="I77" s="1118"/>
      <c r="J77" s="1118"/>
      <c r="K77" s="1118"/>
      <c r="L77" s="1118"/>
      <c r="M77" s="1118"/>
      <c r="N77" s="1118"/>
      <c r="O77" s="1118"/>
      <c r="P77" s="1118"/>
      <c r="Q77" s="1118"/>
      <c r="R77" s="1118"/>
      <c r="S77" s="1118"/>
      <c r="T77" s="1118"/>
      <c r="U77" s="1571"/>
    </row>
    <row r="78" spans="1:21" s="816" customFormat="1" ht="56.25">
      <c r="A78" s="1574"/>
      <c r="B78" s="1440"/>
      <c r="C78" s="1440"/>
      <c r="D78" s="1440"/>
      <c r="E78" s="333" t="s">
        <v>1504</v>
      </c>
      <c r="F78" s="194">
        <v>4800</v>
      </c>
      <c r="G78" s="303"/>
      <c r="H78" s="303"/>
      <c r="I78" s="1098"/>
      <c r="J78" s="1098"/>
      <c r="K78" s="1098"/>
      <c r="L78" s="1098"/>
      <c r="M78" s="1098"/>
      <c r="N78" s="1098"/>
      <c r="O78" s="1098"/>
      <c r="P78" s="1098"/>
      <c r="Q78" s="1098"/>
      <c r="R78" s="1098"/>
      <c r="S78" s="1098"/>
      <c r="T78" s="1098"/>
      <c r="U78" s="1571"/>
    </row>
    <row r="79" spans="1:21" s="816" customFormat="1">
      <c r="A79" s="1574"/>
      <c r="B79" s="1440"/>
      <c r="C79" s="1440"/>
      <c r="D79" s="1440"/>
      <c r="E79" s="1043" t="s">
        <v>1065</v>
      </c>
      <c r="F79" s="1077">
        <f>SUM(F70:F78)</f>
        <v>42160</v>
      </c>
      <c r="G79" s="1075"/>
      <c r="H79" s="1049"/>
      <c r="I79" s="1101"/>
      <c r="J79" s="1101"/>
      <c r="K79" s="1101"/>
      <c r="L79" s="1101"/>
      <c r="M79" s="1101"/>
      <c r="N79" s="1101"/>
      <c r="O79" s="1101"/>
      <c r="P79" s="1101"/>
      <c r="Q79" s="1101"/>
      <c r="R79" s="1101"/>
      <c r="S79" s="1101"/>
      <c r="T79" s="1101"/>
      <c r="U79" s="1049"/>
    </row>
    <row r="80" spans="1:21" s="816" customFormat="1">
      <c r="A80" s="334"/>
      <c r="B80" s="240"/>
      <c r="C80" s="240"/>
      <c r="D80" s="240"/>
      <c r="E80" s="1043" t="s">
        <v>1092</v>
      </c>
      <c r="F80" s="1077">
        <f>SUM(F79,F69,F65)</f>
        <v>52600</v>
      </c>
      <c r="G80" s="1075"/>
      <c r="H80" s="1049"/>
      <c r="I80" s="1101"/>
      <c r="J80" s="1101"/>
      <c r="K80" s="1101"/>
      <c r="L80" s="1101"/>
      <c r="M80" s="1101"/>
      <c r="N80" s="1101"/>
      <c r="O80" s="1101"/>
      <c r="P80" s="1101"/>
      <c r="Q80" s="1101"/>
      <c r="R80" s="1101"/>
      <c r="S80" s="1101"/>
      <c r="T80" s="1101"/>
      <c r="U80" s="1049"/>
    </row>
    <row r="81" spans="1:21" s="816" customFormat="1">
      <c r="A81" s="1576" t="s">
        <v>544</v>
      </c>
      <c r="B81" s="1576"/>
      <c r="C81" s="1576"/>
      <c r="D81" s="240"/>
      <c r="E81" s="1120"/>
      <c r="F81" s="1078"/>
      <c r="G81" s="240"/>
      <c r="H81" s="38"/>
      <c r="I81" s="1098"/>
      <c r="J81" s="1098"/>
      <c r="K81" s="1098"/>
      <c r="L81" s="1098"/>
      <c r="M81" s="1098"/>
      <c r="N81" s="1098"/>
      <c r="O81" s="1098"/>
      <c r="P81" s="1098"/>
      <c r="Q81" s="1098"/>
      <c r="R81" s="1098"/>
      <c r="S81" s="1098"/>
      <c r="T81" s="1098"/>
      <c r="U81" s="38"/>
    </row>
    <row r="82" spans="1:21" s="816" customFormat="1" ht="56.25">
      <c r="A82" s="1574" t="s">
        <v>545</v>
      </c>
      <c r="B82" s="1440"/>
      <c r="C82" s="1440" t="s">
        <v>546</v>
      </c>
      <c r="D82" s="1440" t="s">
        <v>547</v>
      </c>
      <c r="E82" s="333" t="s">
        <v>1505</v>
      </c>
      <c r="F82" s="194">
        <v>1200</v>
      </c>
      <c r="G82" s="1571" t="s">
        <v>77</v>
      </c>
      <c r="H82" s="1571" t="s">
        <v>548</v>
      </c>
      <c r="I82" s="1575"/>
      <c r="J82" s="1575"/>
      <c r="K82" s="1575"/>
      <c r="L82" s="1575"/>
      <c r="M82" s="1575"/>
      <c r="N82" s="1575"/>
      <c r="O82" s="1575"/>
      <c r="P82" s="1575"/>
      <c r="Q82" s="1575"/>
      <c r="R82" s="1575">
        <v>1800</v>
      </c>
      <c r="S82" s="1575"/>
      <c r="T82" s="1575"/>
      <c r="U82" s="1571" t="s">
        <v>475</v>
      </c>
    </row>
    <row r="83" spans="1:21" s="816" customFormat="1" ht="56.25">
      <c r="A83" s="1574"/>
      <c r="B83" s="1440"/>
      <c r="C83" s="1440"/>
      <c r="D83" s="1440"/>
      <c r="E83" s="333" t="s">
        <v>1506</v>
      </c>
      <c r="F83" s="194">
        <v>600</v>
      </c>
      <c r="G83" s="1571"/>
      <c r="H83" s="1571"/>
      <c r="I83" s="1575"/>
      <c r="J83" s="1575"/>
      <c r="K83" s="1575"/>
      <c r="L83" s="1575"/>
      <c r="M83" s="1575"/>
      <c r="N83" s="1575"/>
      <c r="O83" s="1575"/>
      <c r="P83" s="1575"/>
      <c r="Q83" s="1575"/>
      <c r="R83" s="1575"/>
      <c r="S83" s="1575"/>
      <c r="T83" s="1575"/>
      <c r="U83" s="1571"/>
    </row>
    <row r="84" spans="1:21" s="816" customFormat="1">
      <c r="A84" s="334"/>
      <c r="B84" s="240"/>
      <c r="C84" s="303"/>
      <c r="D84" s="240"/>
      <c r="E84" s="1043" t="s">
        <v>1065</v>
      </c>
      <c r="F84" s="1047">
        <v>1800</v>
      </c>
      <c r="G84" s="1051"/>
      <c r="H84" s="1051"/>
      <c r="I84" s="1101"/>
      <c r="J84" s="1101"/>
      <c r="K84" s="1101"/>
      <c r="L84" s="1101"/>
      <c r="M84" s="1101"/>
      <c r="N84" s="1101"/>
      <c r="O84" s="1101"/>
      <c r="P84" s="1101"/>
      <c r="Q84" s="1101"/>
      <c r="R84" s="1101"/>
      <c r="S84" s="1101"/>
      <c r="T84" s="1101"/>
      <c r="U84" s="1051"/>
    </row>
    <row r="85" spans="1:21" s="816" customFormat="1" ht="56.25">
      <c r="A85" s="1574" t="s">
        <v>549</v>
      </c>
      <c r="B85" s="1440"/>
      <c r="C85" s="1440"/>
      <c r="D85" s="1440" t="s">
        <v>547</v>
      </c>
      <c r="E85" s="333" t="s">
        <v>1507</v>
      </c>
      <c r="F85" s="194">
        <v>3600</v>
      </c>
      <c r="G85" s="1571" t="s">
        <v>77</v>
      </c>
      <c r="H85" s="1571" t="s">
        <v>550</v>
      </c>
      <c r="I85" s="1575"/>
      <c r="J85" s="1575"/>
      <c r="K85" s="1575"/>
      <c r="L85" s="1575"/>
      <c r="M85" s="1575"/>
      <c r="N85" s="1575"/>
      <c r="O85" s="1575"/>
      <c r="P85" s="1575"/>
      <c r="Q85" s="1575"/>
      <c r="R85" s="1575"/>
      <c r="S85" s="1575">
        <v>5400</v>
      </c>
      <c r="T85" s="1575"/>
      <c r="U85" s="1571" t="s">
        <v>475</v>
      </c>
    </row>
    <row r="86" spans="1:21" s="816" customFormat="1" ht="56.25">
      <c r="A86" s="1574"/>
      <c r="B86" s="1440"/>
      <c r="C86" s="1440"/>
      <c r="D86" s="1440"/>
      <c r="E86" s="333" t="s">
        <v>1508</v>
      </c>
      <c r="F86" s="194">
        <v>1800</v>
      </c>
      <c r="G86" s="1571"/>
      <c r="H86" s="1571"/>
      <c r="I86" s="1575"/>
      <c r="J86" s="1575"/>
      <c r="K86" s="1575"/>
      <c r="L86" s="1575"/>
      <c r="M86" s="1575"/>
      <c r="N86" s="1575"/>
      <c r="O86" s="1575"/>
      <c r="P86" s="1575"/>
      <c r="Q86" s="1575"/>
      <c r="R86" s="1575"/>
      <c r="S86" s="1575"/>
      <c r="T86" s="1575"/>
      <c r="U86" s="1571"/>
    </row>
    <row r="87" spans="1:21" s="816" customFormat="1">
      <c r="A87" s="334"/>
      <c r="B87" s="240"/>
      <c r="C87" s="240"/>
      <c r="D87" s="240"/>
      <c r="E87" s="1043" t="s">
        <v>1065</v>
      </c>
      <c r="F87" s="1047">
        <v>5400</v>
      </c>
      <c r="G87" s="1051"/>
      <c r="H87" s="1051"/>
      <c r="I87" s="1101"/>
      <c r="J87" s="1101"/>
      <c r="K87" s="1101"/>
      <c r="L87" s="1101"/>
      <c r="M87" s="1101"/>
      <c r="N87" s="1101"/>
      <c r="O87" s="1101"/>
      <c r="P87" s="1101"/>
      <c r="Q87" s="1101"/>
      <c r="R87" s="1101"/>
      <c r="S87" s="1101"/>
      <c r="T87" s="1101"/>
      <c r="U87" s="1051"/>
    </row>
    <row r="88" spans="1:21" s="816" customFormat="1" ht="56.25">
      <c r="A88" s="1574" t="s">
        <v>551</v>
      </c>
      <c r="B88" s="1440"/>
      <c r="C88" s="1440"/>
      <c r="D88" s="1440" t="s">
        <v>547</v>
      </c>
      <c r="E88" s="333" t="s">
        <v>1509</v>
      </c>
      <c r="F88" s="194">
        <v>1200</v>
      </c>
      <c r="G88" s="1571" t="s">
        <v>77</v>
      </c>
      <c r="H88" s="1571" t="s">
        <v>552</v>
      </c>
      <c r="I88" s="1575"/>
      <c r="J88" s="1575"/>
      <c r="K88" s="1575"/>
      <c r="L88" s="1575"/>
      <c r="M88" s="1575"/>
      <c r="N88" s="1575"/>
      <c r="O88" s="1575"/>
      <c r="P88" s="1575"/>
      <c r="Q88" s="1575"/>
      <c r="R88" s="1575"/>
      <c r="S88" s="1575"/>
      <c r="T88" s="1575">
        <v>1800</v>
      </c>
      <c r="U88" s="1571" t="s">
        <v>475</v>
      </c>
    </row>
    <row r="89" spans="1:21" s="816" customFormat="1" ht="56.25">
      <c r="A89" s="1574"/>
      <c r="B89" s="1440"/>
      <c r="C89" s="1440"/>
      <c r="D89" s="1440"/>
      <c r="E89" s="333" t="s">
        <v>1510</v>
      </c>
      <c r="F89" s="194">
        <v>600</v>
      </c>
      <c r="G89" s="1571"/>
      <c r="H89" s="1571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1"/>
    </row>
    <row r="90" spans="1:21" s="816" customFormat="1">
      <c r="A90" s="334"/>
      <c r="B90" s="240"/>
      <c r="C90" s="240"/>
      <c r="D90" s="240"/>
      <c r="E90" s="1043" t="s">
        <v>1065</v>
      </c>
      <c r="F90" s="1047">
        <v>1800</v>
      </c>
      <c r="G90" s="1051"/>
      <c r="H90" s="1051"/>
      <c r="I90" s="1101"/>
      <c r="J90" s="1101"/>
      <c r="K90" s="1101"/>
      <c r="L90" s="1101"/>
      <c r="M90" s="1101"/>
      <c r="N90" s="1101"/>
      <c r="O90" s="1101"/>
      <c r="P90" s="1101"/>
      <c r="Q90" s="1101"/>
      <c r="R90" s="1101"/>
      <c r="S90" s="1101"/>
      <c r="T90" s="1101"/>
      <c r="U90" s="1051"/>
    </row>
    <row r="91" spans="1:21" s="816" customFormat="1">
      <c r="A91" s="1121" t="s">
        <v>553</v>
      </c>
      <c r="B91" s="240"/>
      <c r="C91" s="240"/>
      <c r="D91" s="67"/>
      <c r="E91" s="333"/>
      <c r="F91" s="194"/>
      <c r="G91" s="303"/>
      <c r="H91" s="303"/>
      <c r="I91" s="1098"/>
      <c r="J91" s="1098"/>
      <c r="K91" s="1098"/>
      <c r="L91" s="1098"/>
      <c r="M91" s="1098"/>
      <c r="N91" s="1098"/>
      <c r="O91" s="1098"/>
      <c r="P91" s="1098"/>
      <c r="Q91" s="1098"/>
      <c r="R91" s="1098"/>
      <c r="S91" s="1098"/>
      <c r="T91" s="1098"/>
      <c r="U91" s="303"/>
    </row>
    <row r="92" spans="1:21" s="816" customFormat="1">
      <c r="A92" s="334"/>
      <c r="B92" s="240"/>
      <c r="C92" s="240"/>
      <c r="D92" s="67"/>
      <c r="E92" s="1043" t="s">
        <v>1092</v>
      </c>
      <c r="F92" s="1079">
        <f>SUM(F84,F87,F90)</f>
        <v>9000</v>
      </c>
      <c r="G92" s="1051"/>
      <c r="H92" s="1051"/>
      <c r="I92" s="1101"/>
      <c r="J92" s="1101"/>
      <c r="K92" s="1101"/>
      <c r="L92" s="1101"/>
      <c r="M92" s="1101"/>
      <c r="N92" s="1101"/>
      <c r="O92" s="1101"/>
      <c r="P92" s="1101"/>
      <c r="Q92" s="1101"/>
      <c r="R92" s="1101"/>
      <c r="S92" s="1101"/>
      <c r="T92" s="1101"/>
      <c r="U92" s="1051"/>
    </row>
    <row r="93" spans="1:21" s="816" customFormat="1">
      <c r="A93" s="1578" t="s">
        <v>554</v>
      </c>
      <c r="B93" s="1578"/>
      <c r="C93" s="240"/>
      <c r="D93" s="240"/>
      <c r="E93" s="333"/>
      <c r="F93" s="194"/>
      <c r="G93" s="303"/>
      <c r="H93" s="303"/>
      <c r="I93" s="1098"/>
      <c r="J93" s="1098"/>
      <c r="K93" s="1098"/>
      <c r="L93" s="1098"/>
      <c r="M93" s="1098"/>
      <c r="N93" s="1098"/>
      <c r="O93" s="1098"/>
      <c r="P93" s="1098"/>
      <c r="Q93" s="1098"/>
      <c r="R93" s="1098"/>
      <c r="S93" s="1098"/>
      <c r="T93" s="1098"/>
      <c r="U93" s="303"/>
    </row>
    <row r="94" spans="1:21" s="816" customFormat="1" ht="56.25">
      <c r="A94" s="1574" t="s">
        <v>555</v>
      </c>
      <c r="B94" s="1440"/>
      <c r="C94" s="1440" t="s">
        <v>556</v>
      </c>
      <c r="D94" s="1440" t="s">
        <v>557</v>
      </c>
      <c r="E94" s="333" t="s">
        <v>1511</v>
      </c>
      <c r="F94" s="194">
        <v>6000</v>
      </c>
      <c r="G94" s="303" t="s">
        <v>77</v>
      </c>
      <c r="H94" s="303" t="s">
        <v>558</v>
      </c>
      <c r="I94" s="1098"/>
      <c r="J94" s="1098"/>
      <c r="K94" s="1098"/>
      <c r="L94" s="1098"/>
      <c r="M94" s="1098"/>
      <c r="N94" s="1098">
        <v>3000</v>
      </c>
      <c r="O94" s="1098"/>
      <c r="P94" s="1098"/>
      <c r="Q94" s="1098"/>
      <c r="R94" s="1098"/>
      <c r="S94" s="1098">
        <v>3000</v>
      </c>
      <c r="T94" s="1098"/>
      <c r="U94" s="303" t="s">
        <v>505</v>
      </c>
    </row>
    <row r="95" spans="1:21" s="816" customFormat="1">
      <c r="A95" s="1574"/>
      <c r="B95" s="1440"/>
      <c r="C95" s="1440"/>
      <c r="D95" s="1440"/>
      <c r="E95" s="1043" t="s">
        <v>1065</v>
      </c>
      <c r="F95" s="63">
        <f>SUM(F94:F94)</f>
        <v>6000</v>
      </c>
      <c r="G95" s="1075"/>
      <c r="H95" s="1049"/>
      <c r="I95" s="1101"/>
      <c r="J95" s="1101"/>
      <c r="K95" s="1101"/>
      <c r="L95" s="1101"/>
      <c r="M95" s="1101"/>
      <c r="N95" s="1101"/>
      <c r="O95" s="1101"/>
      <c r="P95" s="1101"/>
      <c r="Q95" s="1101"/>
      <c r="R95" s="1101"/>
      <c r="S95" s="1101"/>
      <c r="T95" s="1101"/>
      <c r="U95" s="1049"/>
    </row>
    <row r="96" spans="1:21" s="816" customFormat="1">
      <c r="A96" s="1576" t="s">
        <v>559</v>
      </c>
      <c r="B96" s="1576"/>
      <c r="C96" s="1576"/>
      <c r="D96" s="1576"/>
      <c r="E96" s="1120"/>
      <c r="F96" s="1122"/>
      <c r="G96" s="303"/>
      <c r="H96" s="240"/>
      <c r="I96" s="1098"/>
      <c r="J96" s="1098"/>
      <c r="K96" s="1098"/>
      <c r="L96" s="1098"/>
      <c r="M96" s="1098"/>
      <c r="N96" s="1098"/>
      <c r="O96" s="1098"/>
      <c r="P96" s="1098"/>
      <c r="Q96" s="1098"/>
      <c r="R96" s="1098"/>
      <c r="S96" s="1098"/>
      <c r="T96" s="1098"/>
      <c r="U96" s="240"/>
    </row>
    <row r="97" spans="1:23" s="816" customFormat="1" ht="150">
      <c r="A97" s="333" t="s">
        <v>1522</v>
      </c>
      <c r="B97" s="240"/>
      <c r="C97" s="67" t="s">
        <v>560</v>
      </c>
      <c r="D97" s="67" t="s">
        <v>1524</v>
      </c>
      <c r="E97" s="334" t="s">
        <v>1512</v>
      </c>
      <c r="F97" s="1123">
        <v>240000</v>
      </c>
      <c r="G97" s="303" t="s">
        <v>518</v>
      </c>
      <c r="H97" s="240" t="s">
        <v>71</v>
      </c>
      <c r="I97" s="1098">
        <v>20000</v>
      </c>
      <c r="J97" s="1098">
        <v>20000</v>
      </c>
      <c r="K97" s="1098">
        <v>20000</v>
      </c>
      <c r="L97" s="1098">
        <v>20000</v>
      </c>
      <c r="M97" s="1098">
        <v>20000</v>
      </c>
      <c r="N97" s="1098">
        <v>20000</v>
      </c>
      <c r="O97" s="1098">
        <v>20000</v>
      </c>
      <c r="P97" s="1098">
        <v>20000</v>
      </c>
      <c r="Q97" s="1098">
        <v>20000</v>
      </c>
      <c r="R97" s="1098">
        <v>20000</v>
      </c>
      <c r="S97" s="1098">
        <v>20000</v>
      </c>
      <c r="T97" s="1098">
        <v>20000</v>
      </c>
      <c r="U97" s="240" t="s">
        <v>505</v>
      </c>
    </row>
    <row r="98" spans="1:23" s="816" customFormat="1" ht="150">
      <c r="A98" s="333" t="s">
        <v>1523</v>
      </c>
      <c r="B98" s="240"/>
      <c r="C98" s="67" t="s">
        <v>561</v>
      </c>
      <c r="D98" s="67" t="s">
        <v>1525</v>
      </c>
      <c r="E98" s="334" t="s">
        <v>1513</v>
      </c>
      <c r="F98" s="1123">
        <v>24000</v>
      </c>
      <c r="G98" s="240"/>
      <c r="H98" s="38"/>
      <c r="I98" s="1098"/>
      <c r="J98" s="1098"/>
      <c r="K98" s="1098">
        <v>6000</v>
      </c>
      <c r="L98" s="1098"/>
      <c r="M98" s="1098"/>
      <c r="N98" s="1098">
        <v>6000</v>
      </c>
      <c r="O98" s="1098"/>
      <c r="P98" s="1098"/>
      <c r="Q98" s="1098">
        <v>6000</v>
      </c>
      <c r="R98" s="1098"/>
      <c r="S98" s="1098"/>
      <c r="T98" s="1098">
        <v>6000</v>
      </c>
      <c r="U98" s="38"/>
    </row>
    <row r="99" spans="1:23" s="816" customFormat="1" ht="150">
      <c r="A99" s="334" t="s">
        <v>1514</v>
      </c>
      <c r="B99" s="240"/>
      <c r="D99" s="67" t="s">
        <v>1521</v>
      </c>
      <c r="E99" s="334" t="s">
        <v>1515</v>
      </c>
      <c r="F99" s="1123">
        <v>10000</v>
      </c>
      <c r="G99" s="240"/>
      <c r="H99" s="38"/>
      <c r="I99" s="1098"/>
      <c r="J99" s="1098">
        <v>10000</v>
      </c>
      <c r="K99" s="1098"/>
      <c r="L99" s="1098"/>
      <c r="M99" s="1098"/>
      <c r="N99" s="1098"/>
      <c r="O99" s="1098"/>
      <c r="P99" s="1098"/>
      <c r="Q99" s="1098"/>
      <c r="R99" s="1098"/>
      <c r="S99" s="1098"/>
      <c r="T99" s="1098"/>
      <c r="U99" s="38"/>
    </row>
    <row r="100" spans="1:23" s="816" customFormat="1" ht="131.25">
      <c r="A100" s="334" t="s">
        <v>1516</v>
      </c>
      <c r="B100" s="240"/>
      <c r="C100" s="67"/>
      <c r="D100" s="67"/>
      <c r="E100" s="334"/>
      <c r="F100" s="1122"/>
      <c r="G100" s="240"/>
      <c r="H100" s="38"/>
      <c r="I100" s="1098"/>
      <c r="J100" s="1098"/>
      <c r="K100" s="1098"/>
      <c r="L100" s="1098"/>
      <c r="M100" s="1098"/>
      <c r="N100" s="1098"/>
      <c r="O100" s="1098"/>
      <c r="P100" s="1098"/>
      <c r="Q100" s="1098"/>
      <c r="R100" s="1098"/>
      <c r="S100" s="1098"/>
      <c r="T100" s="1098"/>
      <c r="U100" s="38"/>
    </row>
    <row r="101" spans="1:23" s="816" customFormat="1">
      <c r="A101" s="334"/>
      <c r="B101" s="240"/>
      <c r="C101" s="240"/>
      <c r="D101" s="240"/>
      <c r="E101" s="1043" t="s">
        <v>1065</v>
      </c>
      <c r="F101" s="1079">
        <v>274000</v>
      </c>
      <c r="G101" s="1051" t="s">
        <v>518</v>
      </c>
      <c r="H101" s="1049"/>
      <c r="I101" s="1101"/>
      <c r="J101" s="1101"/>
      <c r="K101" s="1101"/>
      <c r="L101" s="1101"/>
      <c r="M101" s="1101"/>
      <c r="N101" s="1101"/>
      <c r="O101" s="1101"/>
      <c r="P101" s="1101"/>
      <c r="Q101" s="1101"/>
      <c r="R101" s="1101"/>
      <c r="S101" s="1101"/>
      <c r="T101" s="1101"/>
      <c r="U101" s="1049"/>
    </row>
    <row r="102" spans="1:23" ht="48.75">
      <c r="A102" s="66"/>
      <c r="B102" s="66"/>
      <c r="C102" s="66"/>
      <c r="D102" s="66"/>
      <c r="E102" s="75" t="s">
        <v>1092</v>
      </c>
      <c r="F102" s="916">
        <f>SUM(I102:T102)</f>
        <v>541750</v>
      </c>
      <c r="G102" s="1080"/>
      <c r="H102" s="1056"/>
      <c r="I102" s="1102">
        <f>SUM(I8:I101)</f>
        <v>20000</v>
      </c>
      <c r="J102" s="1102">
        <f t="shared" ref="J102:T102" si="0">SUM(J8:J101)</f>
        <v>72160</v>
      </c>
      <c r="K102" s="1102">
        <f t="shared" si="0"/>
        <v>32800</v>
      </c>
      <c r="L102" s="1102">
        <f t="shared" si="0"/>
        <v>58550</v>
      </c>
      <c r="M102" s="1102">
        <f t="shared" si="0"/>
        <v>33440</v>
      </c>
      <c r="N102" s="1102">
        <f t="shared" si="0"/>
        <v>93000</v>
      </c>
      <c r="O102" s="1102">
        <f t="shared" si="0"/>
        <v>20000</v>
      </c>
      <c r="P102" s="1102">
        <f t="shared" si="0"/>
        <v>22400</v>
      </c>
      <c r="Q102" s="1102">
        <f t="shared" si="0"/>
        <v>82400</v>
      </c>
      <c r="R102" s="1102">
        <f t="shared" si="0"/>
        <v>23400</v>
      </c>
      <c r="S102" s="1102">
        <f t="shared" si="0"/>
        <v>43400</v>
      </c>
      <c r="T102" s="1102">
        <f t="shared" si="0"/>
        <v>40200</v>
      </c>
      <c r="U102" s="1081"/>
      <c r="V102" s="60"/>
      <c r="W102" s="60"/>
    </row>
    <row r="103" spans="1:23">
      <c r="A103" s="907" t="s">
        <v>140</v>
      </c>
      <c r="B103" s="815"/>
      <c r="C103" s="815"/>
      <c r="D103" s="1082"/>
      <c r="E103" s="1083"/>
      <c r="F103" s="1084"/>
      <c r="G103" s="1084"/>
      <c r="H103" s="1085"/>
      <c r="I103" s="1050"/>
      <c r="J103" s="1050"/>
      <c r="K103" s="1086"/>
      <c r="L103" s="1086"/>
      <c r="M103" s="1050"/>
      <c r="N103" s="1050"/>
      <c r="O103" s="1086"/>
      <c r="P103" s="1050"/>
      <c r="Q103" s="1086"/>
      <c r="R103" s="1086"/>
      <c r="S103" s="1086"/>
      <c r="T103" s="1092"/>
      <c r="U103" s="815"/>
      <c r="V103" s="60"/>
      <c r="W103" s="60"/>
    </row>
    <row r="104" spans="1:23">
      <c r="A104" s="1577" t="s">
        <v>141</v>
      </c>
      <c r="B104" s="1577"/>
      <c r="C104" s="1577"/>
      <c r="D104" s="1577"/>
      <c r="F104" s="234"/>
      <c r="H104" s="234"/>
      <c r="J104" s="1093"/>
      <c r="T104" s="805"/>
      <c r="U104" s="815"/>
      <c r="W104" s="60"/>
    </row>
    <row r="105" spans="1:23">
      <c r="E105" s="1090">
        <f>SUM(F31,F39,F65,F69,F79,F92,F95)</f>
        <v>150000</v>
      </c>
      <c r="F105" s="816" t="s">
        <v>445</v>
      </c>
      <c r="H105" s="234"/>
      <c r="J105" s="1093"/>
      <c r="T105" s="805"/>
      <c r="U105" s="815"/>
      <c r="W105" s="60"/>
    </row>
    <row r="106" spans="1:23">
      <c r="E106" s="1087">
        <f>SUM(F47,F62,F101)</f>
        <v>375750</v>
      </c>
      <c r="F106" s="60" t="s">
        <v>1422</v>
      </c>
      <c r="J106" s="1093"/>
      <c r="T106" s="805"/>
      <c r="U106" s="815"/>
      <c r="W106" s="60"/>
    </row>
    <row r="107" spans="1:23">
      <c r="E107" s="234">
        <f>SUM(F35)</f>
        <v>16000</v>
      </c>
      <c r="F107" s="60" t="s">
        <v>1423</v>
      </c>
      <c r="J107" s="1093"/>
      <c r="T107" s="805"/>
      <c r="U107" s="815"/>
      <c r="W107" s="60"/>
    </row>
    <row r="108" spans="1:23">
      <c r="E108" s="234">
        <f>SUM(E105:E107)</f>
        <v>541750</v>
      </c>
      <c r="J108" s="1093"/>
      <c r="T108" s="805"/>
      <c r="U108" s="815"/>
      <c r="W108" s="60"/>
    </row>
    <row r="109" spans="1:23">
      <c r="E109" s="1087"/>
      <c r="J109" s="1093"/>
      <c r="T109" s="805"/>
      <c r="U109" s="815"/>
      <c r="W109" s="60"/>
    </row>
    <row r="110" spans="1:23">
      <c r="J110" s="1093"/>
      <c r="T110" s="805"/>
      <c r="U110" s="815"/>
      <c r="W110" s="60"/>
    </row>
    <row r="111" spans="1:23">
      <c r="J111" s="1093"/>
      <c r="T111" s="805"/>
      <c r="U111" s="815"/>
      <c r="W111" s="60"/>
    </row>
  </sheetData>
  <mergeCells count="149">
    <mergeCell ref="A104:D104"/>
    <mergeCell ref="A64:B64"/>
    <mergeCell ref="A94:A95"/>
    <mergeCell ref="B94:B95"/>
    <mergeCell ref="C94:C95"/>
    <mergeCell ref="D94:D95"/>
    <mergeCell ref="A96:D96"/>
    <mergeCell ref="H85:H86"/>
    <mergeCell ref="M82:M83"/>
    <mergeCell ref="A85:A86"/>
    <mergeCell ref="B85:B86"/>
    <mergeCell ref="C85:C86"/>
    <mergeCell ref="D85:D86"/>
    <mergeCell ref="G85:G86"/>
    <mergeCell ref="A93:B93"/>
    <mergeCell ref="K88:K89"/>
    <mergeCell ref="L88:L89"/>
    <mergeCell ref="M88:M89"/>
    <mergeCell ref="A81:C81"/>
    <mergeCell ref="H82:H83"/>
    <mergeCell ref="I82:I83"/>
    <mergeCell ref="J82:J83"/>
    <mergeCell ref="A70:A79"/>
    <mergeCell ref="B70:B79"/>
    <mergeCell ref="K82:K83"/>
    <mergeCell ref="L82:L83"/>
    <mergeCell ref="N82:N83"/>
    <mergeCell ref="A88:A89"/>
    <mergeCell ref="B88:B89"/>
    <mergeCell ref="C88:C89"/>
    <mergeCell ref="D88:D89"/>
    <mergeCell ref="G88:G89"/>
    <mergeCell ref="I85:I86"/>
    <mergeCell ref="J85:J86"/>
    <mergeCell ref="K85:K86"/>
    <mergeCell ref="L85:L86"/>
    <mergeCell ref="I88:I89"/>
    <mergeCell ref="J88:J89"/>
    <mergeCell ref="H88:H89"/>
    <mergeCell ref="N85:N86"/>
    <mergeCell ref="A82:A83"/>
    <mergeCell ref="B82:B83"/>
    <mergeCell ref="C82:C83"/>
    <mergeCell ref="D82:D83"/>
    <mergeCell ref="G82:G83"/>
    <mergeCell ref="Q88:Q89"/>
    <mergeCell ref="M85:M86"/>
    <mergeCell ref="S88:S89"/>
    <mergeCell ref="T88:T89"/>
    <mergeCell ref="U88:U89"/>
    <mergeCell ref="R88:R89"/>
    <mergeCell ref="Q82:Q83"/>
    <mergeCell ref="R82:R83"/>
    <mergeCell ref="U70:U78"/>
    <mergeCell ref="S82:S83"/>
    <mergeCell ref="T82:T83"/>
    <mergeCell ref="U82:U83"/>
    <mergeCell ref="O82:O83"/>
    <mergeCell ref="P82:P83"/>
    <mergeCell ref="T85:T86"/>
    <mergeCell ref="U85:U86"/>
    <mergeCell ref="R85:R86"/>
    <mergeCell ref="S85:S86"/>
    <mergeCell ref="O85:O86"/>
    <mergeCell ref="P85:P86"/>
    <mergeCell ref="Q85:Q86"/>
    <mergeCell ref="N88:N89"/>
    <mergeCell ref="O88:O89"/>
    <mergeCell ref="P88:P89"/>
    <mergeCell ref="C70:C79"/>
    <mergeCell ref="D70:D79"/>
    <mergeCell ref="G70:G77"/>
    <mergeCell ref="H70:H77"/>
    <mergeCell ref="Q55:Q59"/>
    <mergeCell ref="R55:R59"/>
    <mergeCell ref="S55:S59"/>
    <mergeCell ref="T55:T59"/>
    <mergeCell ref="U55:U59"/>
    <mergeCell ref="A63:C63"/>
    <mergeCell ref="K55:K59"/>
    <mergeCell ref="L55:L59"/>
    <mergeCell ref="M55:M59"/>
    <mergeCell ref="N55:N59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O55:O59"/>
    <mergeCell ref="P55:P59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91"/>
  <sheetViews>
    <sheetView workbookViewId="0">
      <selection activeCell="H2" sqref="H1:U65536"/>
    </sheetView>
  </sheetViews>
  <sheetFormatPr defaultColWidth="9" defaultRowHeight="18"/>
  <cols>
    <col min="1" max="5" width="22.75" style="74" customWidth="1"/>
    <col min="6" max="6" width="10.125" style="74" bestFit="1" customWidth="1"/>
    <col min="7" max="7" width="8.25" style="471" bestFit="1" customWidth="1"/>
    <col min="8" max="8" width="10" style="74" bestFit="1" customWidth="1"/>
    <col min="9" max="20" width="4" style="74" customWidth="1"/>
    <col min="21" max="21" width="9.75" style="74" customWidth="1"/>
    <col min="22" max="16384" width="9" style="74"/>
  </cols>
  <sheetData>
    <row r="1" spans="1:21" ht="24">
      <c r="A1" s="1434" t="s">
        <v>210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</row>
    <row r="2" spans="1:21" ht="24">
      <c r="A2" s="1435" t="s">
        <v>211</v>
      </c>
      <c r="B2" s="1435"/>
      <c r="C2" s="1435"/>
      <c r="D2" s="1435"/>
      <c r="E2" s="236"/>
      <c r="F2" s="472"/>
      <c r="G2" s="473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</row>
    <row r="3" spans="1:21" ht="24">
      <c r="A3" s="1579" t="s">
        <v>1447</v>
      </c>
      <c r="B3" s="1579"/>
      <c r="C3" s="1579"/>
      <c r="D3" s="1579"/>
      <c r="E3" s="1579"/>
      <c r="F3" s="1579"/>
      <c r="G3" s="1579"/>
      <c r="H3" s="1579"/>
      <c r="I3" s="1579"/>
      <c r="J3" s="1579"/>
      <c r="K3" s="1579"/>
      <c r="L3" s="472"/>
      <c r="M3" s="472"/>
      <c r="N3" s="472"/>
      <c r="O3" s="472"/>
      <c r="P3" s="472"/>
      <c r="Q3" s="472"/>
      <c r="R3" s="472"/>
      <c r="S3" s="472"/>
      <c r="T3" s="472"/>
      <c r="U3" s="472"/>
    </row>
    <row r="4" spans="1:21" ht="21.75">
      <c r="A4" s="1534" t="s">
        <v>44</v>
      </c>
      <c r="B4" s="1436" t="s">
        <v>45</v>
      </c>
      <c r="C4" s="1436" t="s">
        <v>46</v>
      </c>
      <c r="D4" s="1436" t="s">
        <v>47</v>
      </c>
      <c r="E4" s="1436" t="s">
        <v>48</v>
      </c>
      <c r="F4" s="1436"/>
      <c r="G4" s="1436"/>
      <c r="H4" s="1436" t="s">
        <v>1424</v>
      </c>
      <c r="I4" s="1436" t="s">
        <v>50</v>
      </c>
      <c r="J4" s="1436"/>
      <c r="K4" s="1436"/>
      <c r="L4" s="1436"/>
      <c r="M4" s="1436"/>
      <c r="N4" s="1436"/>
      <c r="O4" s="1436"/>
      <c r="P4" s="1436"/>
      <c r="Q4" s="1436"/>
      <c r="R4" s="1436"/>
      <c r="S4" s="1436"/>
      <c r="T4" s="1436"/>
      <c r="U4" s="1534" t="s">
        <v>153</v>
      </c>
    </row>
    <row r="5" spans="1:21">
      <c r="A5" s="1535"/>
      <c r="B5" s="1436"/>
      <c r="C5" s="1436"/>
      <c r="D5" s="1436"/>
      <c r="E5" s="1534" t="s">
        <v>52</v>
      </c>
      <c r="F5" s="1537" t="s">
        <v>53</v>
      </c>
      <c r="G5" s="1539" t="s">
        <v>54</v>
      </c>
      <c r="H5" s="1436"/>
      <c r="I5" s="1436" t="s">
        <v>55</v>
      </c>
      <c r="J5" s="1436" t="s">
        <v>56</v>
      </c>
      <c r="K5" s="1436" t="s">
        <v>57</v>
      </c>
      <c r="L5" s="1436" t="s">
        <v>58</v>
      </c>
      <c r="M5" s="1436" t="s">
        <v>59</v>
      </c>
      <c r="N5" s="1436" t="s">
        <v>60</v>
      </c>
      <c r="O5" s="1436" t="s">
        <v>61</v>
      </c>
      <c r="P5" s="1436" t="s">
        <v>62</v>
      </c>
      <c r="Q5" s="1436" t="s">
        <v>63</v>
      </c>
      <c r="R5" s="1436" t="s">
        <v>64</v>
      </c>
      <c r="S5" s="1436" t="s">
        <v>65</v>
      </c>
      <c r="T5" s="1436" t="s">
        <v>66</v>
      </c>
      <c r="U5" s="1535"/>
    </row>
    <row r="6" spans="1:21">
      <c r="A6" s="1536"/>
      <c r="B6" s="1436"/>
      <c r="C6" s="1436"/>
      <c r="D6" s="1436"/>
      <c r="E6" s="1536"/>
      <c r="F6" s="1538"/>
      <c r="G6" s="1539"/>
      <c r="H6" s="1436"/>
      <c r="I6" s="1436"/>
      <c r="J6" s="1436"/>
      <c r="K6" s="1436"/>
      <c r="L6" s="1436"/>
      <c r="M6" s="1436"/>
      <c r="N6" s="1436"/>
      <c r="O6" s="1436"/>
      <c r="P6" s="1436"/>
      <c r="Q6" s="1436"/>
      <c r="R6" s="1436"/>
      <c r="S6" s="1436"/>
      <c r="T6" s="1436"/>
      <c r="U6" s="1536"/>
    </row>
    <row r="7" spans="1:21" s="29" customFormat="1" ht="21.75">
      <c r="A7" s="1597" t="s">
        <v>212</v>
      </c>
      <c r="B7" s="1598"/>
      <c r="C7" s="1598"/>
      <c r="D7" s="1599"/>
      <c r="E7" s="80"/>
      <c r="F7" s="81"/>
      <c r="G7" s="82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83"/>
      <c r="U7" s="83"/>
    </row>
    <row r="8" spans="1:21" s="29" customFormat="1" ht="43.5">
      <c r="A8" s="1600" t="s">
        <v>213</v>
      </c>
      <c r="B8" s="1580" t="s">
        <v>214</v>
      </c>
      <c r="C8" s="1580" t="s">
        <v>215</v>
      </c>
      <c r="D8" s="1580" t="s">
        <v>216</v>
      </c>
      <c r="E8" s="84" t="s">
        <v>217</v>
      </c>
      <c r="F8" s="85">
        <f>12*80</f>
        <v>960</v>
      </c>
      <c r="G8" s="1583" t="s">
        <v>218</v>
      </c>
      <c r="H8" s="1596" t="s">
        <v>219</v>
      </c>
      <c r="I8" s="1592"/>
      <c r="J8" s="1583">
        <f>F11</f>
        <v>1700</v>
      </c>
      <c r="K8" s="1592"/>
      <c r="L8" s="1592"/>
      <c r="M8" s="1592"/>
      <c r="N8" s="1592"/>
      <c r="O8" s="1592"/>
      <c r="P8" s="1592"/>
      <c r="Q8" s="1592"/>
      <c r="R8" s="1592"/>
      <c r="S8" s="1592"/>
      <c r="T8" s="1586"/>
      <c r="U8" s="1589" t="s">
        <v>220</v>
      </c>
    </row>
    <row r="9" spans="1:21" s="29" customFormat="1" ht="43.5">
      <c r="A9" s="1601"/>
      <c r="B9" s="1581"/>
      <c r="C9" s="1581"/>
      <c r="D9" s="1581"/>
      <c r="E9" s="84" t="s">
        <v>221</v>
      </c>
      <c r="F9" s="85">
        <f>12*20</f>
        <v>240</v>
      </c>
      <c r="G9" s="1584"/>
      <c r="H9" s="1584"/>
      <c r="I9" s="1584"/>
      <c r="J9" s="1584"/>
      <c r="K9" s="1584"/>
      <c r="L9" s="1584"/>
      <c r="M9" s="1584"/>
      <c r="N9" s="1584"/>
      <c r="O9" s="1584"/>
      <c r="P9" s="1584"/>
      <c r="Q9" s="1584"/>
      <c r="R9" s="1584"/>
      <c r="S9" s="1584"/>
      <c r="T9" s="1587"/>
      <c r="U9" s="1590"/>
    </row>
    <row r="10" spans="1:21" s="29" customFormat="1" ht="21.75">
      <c r="A10" s="1601"/>
      <c r="B10" s="1581"/>
      <c r="C10" s="1581"/>
      <c r="D10" s="1581"/>
      <c r="E10" s="86" t="s">
        <v>222</v>
      </c>
      <c r="F10" s="85">
        <v>500</v>
      </c>
      <c r="G10" s="1585"/>
      <c r="H10" s="1585"/>
      <c r="I10" s="1585"/>
      <c r="J10" s="1585"/>
      <c r="K10" s="1585"/>
      <c r="L10" s="1585"/>
      <c r="M10" s="1585"/>
      <c r="N10" s="1585"/>
      <c r="O10" s="1585"/>
      <c r="P10" s="1585"/>
      <c r="Q10" s="1585"/>
      <c r="R10" s="1585"/>
      <c r="S10" s="1585"/>
      <c r="T10" s="1588"/>
      <c r="U10" s="1591"/>
    </row>
    <row r="11" spans="1:21" s="29" customFormat="1" ht="21.75">
      <c r="A11" s="1602"/>
      <c r="B11" s="1582"/>
      <c r="C11" s="1582"/>
      <c r="D11" s="1582"/>
      <c r="E11" s="87" t="s">
        <v>4</v>
      </c>
      <c r="F11" s="88">
        <f>SUM(F8:F10)</f>
        <v>1700</v>
      </c>
      <c r="G11" s="82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83"/>
      <c r="U11" s="83"/>
    </row>
    <row r="12" spans="1:21" ht="43.5">
      <c r="A12" s="1593" t="s">
        <v>223</v>
      </c>
      <c r="B12" s="1594" t="s">
        <v>224</v>
      </c>
      <c r="C12" s="1594" t="s">
        <v>225</v>
      </c>
      <c r="D12" s="1594" t="s">
        <v>226</v>
      </c>
      <c r="E12" s="84" t="s">
        <v>227</v>
      </c>
      <c r="F12" s="85">
        <f>30*80</f>
        <v>2400</v>
      </c>
      <c r="G12" s="1595" t="s">
        <v>218</v>
      </c>
      <c r="H12" s="1595" t="s">
        <v>228</v>
      </c>
      <c r="I12" s="1595"/>
      <c r="J12" s="1595"/>
      <c r="K12" s="1603">
        <f>F15</f>
        <v>4300</v>
      </c>
      <c r="L12" s="1595"/>
      <c r="M12" s="1595"/>
      <c r="N12" s="1595"/>
      <c r="O12" s="1603"/>
      <c r="P12" s="1595"/>
      <c r="Q12" s="1595"/>
      <c r="R12" s="1595"/>
      <c r="S12" s="1595"/>
      <c r="T12" s="1595"/>
      <c r="U12" s="1595" t="s">
        <v>229</v>
      </c>
    </row>
    <row r="13" spans="1:21" ht="43.5">
      <c r="A13" s="1593"/>
      <c r="B13" s="1594"/>
      <c r="C13" s="1594"/>
      <c r="D13" s="1594"/>
      <c r="E13" s="84" t="s">
        <v>230</v>
      </c>
      <c r="F13" s="85">
        <f>30*2*20</f>
        <v>1200</v>
      </c>
      <c r="G13" s="1595"/>
      <c r="H13" s="1595"/>
      <c r="I13" s="1595"/>
      <c r="J13" s="1595"/>
      <c r="K13" s="1595"/>
      <c r="L13" s="1595"/>
      <c r="M13" s="1595"/>
      <c r="N13" s="1595"/>
      <c r="O13" s="1595"/>
      <c r="P13" s="1595"/>
      <c r="Q13" s="1595"/>
      <c r="R13" s="1595"/>
      <c r="S13" s="1595"/>
      <c r="T13" s="1595"/>
      <c r="U13" s="1595"/>
    </row>
    <row r="14" spans="1:21" ht="21.75">
      <c r="A14" s="1593"/>
      <c r="B14" s="1594"/>
      <c r="C14" s="1594"/>
      <c r="D14" s="1594"/>
      <c r="E14" s="86" t="s">
        <v>222</v>
      </c>
      <c r="F14" s="85">
        <v>700</v>
      </c>
      <c r="G14" s="1595"/>
      <c r="H14" s="1595"/>
      <c r="I14" s="1595"/>
      <c r="J14" s="1595"/>
      <c r="K14" s="1595"/>
      <c r="L14" s="1595"/>
      <c r="M14" s="1595"/>
      <c r="N14" s="1595"/>
      <c r="O14" s="1595"/>
      <c r="P14" s="1595"/>
      <c r="Q14" s="1595"/>
      <c r="R14" s="1595"/>
      <c r="S14" s="1595"/>
      <c r="T14" s="1595"/>
      <c r="U14" s="1595"/>
    </row>
    <row r="15" spans="1:21" ht="21.75">
      <c r="A15" s="1593"/>
      <c r="B15" s="1594"/>
      <c r="C15" s="1594"/>
      <c r="D15" s="1594"/>
      <c r="E15" s="87" t="s">
        <v>4</v>
      </c>
      <c r="F15" s="89">
        <f>SUM(F12:F14)</f>
        <v>4300</v>
      </c>
      <c r="G15" s="1595"/>
      <c r="H15" s="1595"/>
      <c r="I15" s="1595"/>
      <c r="J15" s="1595"/>
      <c r="K15" s="1595"/>
      <c r="L15" s="1595"/>
      <c r="M15" s="1595"/>
      <c r="N15" s="1595"/>
      <c r="O15" s="1595"/>
      <c r="P15" s="1595"/>
      <c r="Q15" s="1595"/>
      <c r="R15" s="1595"/>
      <c r="S15" s="1595"/>
      <c r="T15" s="1595"/>
      <c r="U15" s="1595"/>
    </row>
    <row r="16" spans="1:21" ht="65.25">
      <c r="A16" s="1593" t="s">
        <v>231</v>
      </c>
      <c r="B16" s="1594" t="s">
        <v>232</v>
      </c>
      <c r="C16" s="1594" t="s">
        <v>233</v>
      </c>
      <c r="D16" s="1594" t="s">
        <v>234</v>
      </c>
      <c r="E16" s="90" t="s">
        <v>235</v>
      </c>
      <c r="F16" s="91">
        <f>9*5*120</f>
        <v>5400</v>
      </c>
      <c r="G16" s="1606" t="s">
        <v>218</v>
      </c>
      <c r="H16" s="1595" t="s">
        <v>236</v>
      </c>
      <c r="I16" s="1604"/>
      <c r="J16" s="1604"/>
      <c r="K16" s="1604"/>
      <c r="L16" s="1604"/>
      <c r="M16" s="1604"/>
      <c r="N16" s="1604"/>
      <c r="O16" s="1605">
        <f>F18</f>
        <v>5900</v>
      </c>
      <c r="P16" s="1604"/>
      <c r="Q16" s="1604"/>
      <c r="R16" s="1604"/>
      <c r="S16" s="1604"/>
      <c r="T16" s="1604"/>
      <c r="U16" s="1604"/>
    </row>
    <row r="17" spans="1:21" ht="21.75">
      <c r="A17" s="1593"/>
      <c r="B17" s="1594"/>
      <c r="C17" s="1594"/>
      <c r="D17" s="1594"/>
      <c r="E17" s="84" t="s">
        <v>237</v>
      </c>
      <c r="F17" s="91">
        <v>500</v>
      </c>
      <c r="G17" s="1606"/>
      <c r="H17" s="1595"/>
      <c r="I17" s="1604"/>
      <c r="J17" s="1604"/>
      <c r="K17" s="1604"/>
      <c r="L17" s="1604"/>
      <c r="M17" s="1604"/>
      <c r="N17" s="1604"/>
      <c r="O17" s="1604"/>
      <c r="P17" s="1604"/>
      <c r="Q17" s="1604"/>
      <c r="R17" s="1604"/>
      <c r="S17" s="1604"/>
      <c r="T17" s="1604"/>
      <c r="U17" s="1604"/>
    </row>
    <row r="18" spans="1:21" ht="21.75">
      <c r="A18" s="1593"/>
      <c r="B18" s="1594"/>
      <c r="C18" s="1594"/>
      <c r="D18" s="1594"/>
      <c r="E18" s="87" t="s">
        <v>4</v>
      </c>
      <c r="F18" s="92">
        <f>SUM(F16:F17)</f>
        <v>5900</v>
      </c>
      <c r="G18" s="1606"/>
      <c r="H18" s="1595"/>
      <c r="I18" s="1604"/>
      <c r="J18" s="1604"/>
      <c r="K18" s="1604"/>
      <c r="L18" s="1604"/>
      <c r="M18" s="1604"/>
      <c r="N18" s="1604"/>
      <c r="O18" s="1604"/>
      <c r="P18" s="1604"/>
      <c r="Q18" s="1604"/>
      <c r="R18" s="1604"/>
      <c r="S18" s="1604"/>
      <c r="T18" s="1604"/>
      <c r="U18" s="1604"/>
    </row>
    <row r="19" spans="1:21" ht="65.25">
      <c r="A19" s="1607" t="s">
        <v>238</v>
      </c>
      <c r="B19" s="1594" t="s">
        <v>239</v>
      </c>
      <c r="C19" s="1594" t="s">
        <v>240</v>
      </c>
      <c r="D19" s="1594" t="s">
        <v>241</v>
      </c>
      <c r="E19" s="90" t="s">
        <v>242</v>
      </c>
      <c r="F19" s="91">
        <f>4*120</f>
        <v>480</v>
      </c>
      <c r="G19" s="271" t="s">
        <v>218</v>
      </c>
      <c r="H19" s="272" t="s">
        <v>228</v>
      </c>
      <c r="I19" s="270"/>
      <c r="J19" s="270"/>
      <c r="K19" s="93">
        <f>F19</f>
        <v>480</v>
      </c>
      <c r="L19" s="270"/>
      <c r="M19" s="270"/>
      <c r="N19" s="270"/>
      <c r="O19" s="270"/>
      <c r="P19" s="270"/>
      <c r="Q19" s="270"/>
      <c r="R19" s="270"/>
      <c r="S19" s="270"/>
      <c r="T19" s="270"/>
      <c r="U19" s="270"/>
    </row>
    <row r="20" spans="1:21" ht="21.75">
      <c r="A20" s="1607"/>
      <c r="B20" s="1594"/>
      <c r="C20" s="1594"/>
      <c r="D20" s="1594"/>
      <c r="E20" s="87" t="s">
        <v>4</v>
      </c>
      <c r="F20" s="92">
        <f>SUM(F19)</f>
        <v>480</v>
      </c>
      <c r="G20" s="271"/>
      <c r="H20" s="272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</row>
    <row r="21" spans="1:21" ht="43.5">
      <c r="A21" s="1593" t="s">
        <v>243</v>
      </c>
      <c r="B21" s="1594" t="s">
        <v>244</v>
      </c>
      <c r="C21" s="1594" t="s">
        <v>245</v>
      </c>
      <c r="D21" s="1594" t="s">
        <v>234</v>
      </c>
      <c r="E21" s="84" t="s">
        <v>246</v>
      </c>
      <c r="F21" s="85">
        <f>30*80</f>
        <v>2400</v>
      </c>
      <c r="G21" s="1606" t="s">
        <v>218</v>
      </c>
      <c r="H21" s="1595" t="s">
        <v>247</v>
      </c>
      <c r="I21" s="1605">
        <f>F24/2</f>
        <v>2200</v>
      </c>
      <c r="J21" s="1604"/>
      <c r="K21" s="1604"/>
      <c r="L21" s="1604"/>
      <c r="M21" s="1604"/>
      <c r="N21" s="1605">
        <f>F24/2</f>
        <v>2200</v>
      </c>
      <c r="O21" s="1605"/>
      <c r="P21" s="1604"/>
      <c r="Q21" s="1604"/>
      <c r="R21" s="1604"/>
      <c r="S21" s="1604"/>
      <c r="T21" s="1604"/>
      <c r="U21" s="1604"/>
    </row>
    <row r="22" spans="1:21" ht="65.25">
      <c r="A22" s="1593"/>
      <c r="B22" s="1594"/>
      <c r="C22" s="1594"/>
      <c r="D22" s="1594"/>
      <c r="E22" s="84" t="s">
        <v>248</v>
      </c>
      <c r="F22" s="85">
        <f>30*20</f>
        <v>600</v>
      </c>
      <c r="G22" s="1606"/>
      <c r="H22" s="1595"/>
      <c r="I22" s="1604"/>
      <c r="J22" s="1604"/>
      <c r="K22" s="1604"/>
      <c r="L22" s="1604"/>
      <c r="M22" s="1604"/>
      <c r="N22" s="1604"/>
      <c r="O22" s="1605"/>
      <c r="P22" s="1604"/>
      <c r="Q22" s="1604"/>
      <c r="R22" s="1604"/>
      <c r="S22" s="1604"/>
      <c r="T22" s="1604"/>
      <c r="U22" s="1604"/>
    </row>
    <row r="23" spans="1:21" ht="21.75">
      <c r="A23" s="1593"/>
      <c r="B23" s="1594"/>
      <c r="C23" s="1594"/>
      <c r="D23" s="1594"/>
      <c r="E23" s="86" t="s">
        <v>249</v>
      </c>
      <c r="F23" s="85">
        <v>1400</v>
      </c>
      <c r="G23" s="1606"/>
      <c r="H23" s="1595"/>
      <c r="I23" s="1604"/>
      <c r="J23" s="1604"/>
      <c r="K23" s="1604"/>
      <c r="L23" s="1604"/>
      <c r="M23" s="1604"/>
      <c r="N23" s="1604"/>
      <c r="O23" s="1605"/>
      <c r="P23" s="1604"/>
      <c r="Q23" s="1604"/>
      <c r="R23" s="1604"/>
      <c r="S23" s="1604"/>
      <c r="T23" s="1604"/>
      <c r="U23" s="1604"/>
    </row>
    <row r="24" spans="1:21" ht="21.75">
      <c r="A24" s="1593"/>
      <c r="B24" s="1594"/>
      <c r="C24" s="1594"/>
      <c r="D24" s="1594"/>
      <c r="E24" s="87" t="s">
        <v>4</v>
      </c>
      <c r="F24" s="92">
        <f>SUM(F21:F23)</f>
        <v>4400</v>
      </c>
      <c r="G24" s="1606"/>
      <c r="H24" s="1595"/>
      <c r="I24" s="1604"/>
      <c r="J24" s="1604"/>
      <c r="K24" s="1604"/>
      <c r="L24" s="1604"/>
      <c r="M24" s="1604"/>
      <c r="N24" s="1604"/>
      <c r="O24" s="1604"/>
      <c r="P24" s="1604"/>
      <c r="Q24" s="1604"/>
      <c r="R24" s="1604"/>
      <c r="S24" s="1604"/>
      <c r="T24" s="1604"/>
      <c r="U24" s="1604"/>
    </row>
    <row r="25" spans="1:21" ht="21.75">
      <c r="A25" s="1608" t="s">
        <v>250</v>
      </c>
      <c r="B25" s="1609"/>
      <c r="C25" s="1609"/>
      <c r="D25" s="1609"/>
      <c r="E25" s="1610"/>
      <c r="F25" s="81"/>
      <c r="G25" s="82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83"/>
      <c r="U25" s="83"/>
    </row>
    <row r="26" spans="1:21" ht="43.5">
      <c r="A26" s="1600" t="s">
        <v>251</v>
      </c>
      <c r="B26" s="1580" t="s">
        <v>252</v>
      </c>
      <c r="C26" s="1611" t="s">
        <v>253</v>
      </c>
      <c r="D26" s="1611" t="s">
        <v>254</v>
      </c>
      <c r="E26" s="84" t="s">
        <v>255</v>
      </c>
      <c r="F26" s="85">
        <v>7200</v>
      </c>
      <c r="G26" s="1592" t="s">
        <v>218</v>
      </c>
      <c r="H26" s="1596">
        <v>22612</v>
      </c>
      <c r="I26" s="1592"/>
      <c r="J26" s="1583">
        <v>38600</v>
      </c>
      <c r="K26" s="1592"/>
      <c r="L26" s="1592"/>
      <c r="M26" s="1592"/>
      <c r="N26" s="1592"/>
      <c r="O26" s="1592"/>
      <c r="P26" s="1592"/>
      <c r="Q26" s="1592"/>
      <c r="R26" s="1592"/>
      <c r="S26" s="1592"/>
      <c r="T26" s="1586"/>
      <c r="U26" s="1589" t="s">
        <v>220</v>
      </c>
    </row>
    <row r="27" spans="1:21" ht="43.5">
      <c r="A27" s="1601"/>
      <c r="B27" s="1581"/>
      <c r="C27" s="1612"/>
      <c r="D27" s="1612"/>
      <c r="E27" s="84" t="s">
        <v>256</v>
      </c>
      <c r="F27" s="85">
        <v>3600</v>
      </c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7"/>
      <c r="U27" s="1590"/>
    </row>
    <row r="28" spans="1:21" ht="65.25">
      <c r="A28" s="1601"/>
      <c r="B28" s="1581"/>
      <c r="C28" s="1612"/>
      <c r="D28" s="1612"/>
      <c r="E28" s="84" t="s">
        <v>257</v>
      </c>
      <c r="F28" s="85">
        <v>16800</v>
      </c>
      <c r="G28" s="1584"/>
      <c r="H28" s="1584"/>
      <c r="I28" s="1584"/>
      <c r="J28" s="1584"/>
      <c r="K28" s="1584"/>
      <c r="L28" s="1584"/>
      <c r="M28" s="1584"/>
      <c r="N28" s="1584"/>
      <c r="O28" s="1584"/>
      <c r="P28" s="1584"/>
      <c r="Q28" s="1584"/>
      <c r="R28" s="1584"/>
      <c r="S28" s="1584"/>
      <c r="T28" s="1587"/>
      <c r="U28" s="1590"/>
    </row>
    <row r="29" spans="1:21" ht="43.5">
      <c r="A29" s="1601"/>
      <c r="B29" s="1581"/>
      <c r="C29" s="1612"/>
      <c r="D29" s="1612"/>
      <c r="E29" s="269" t="s">
        <v>258</v>
      </c>
      <c r="F29" s="85">
        <v>1500</v>
      </c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7"/>
      <c r="U29" s="1590"/>
    </row>
    <row r="30" spans="1:21" ht="43.5">
      <c r="A30" s="1601"/>
      <c r="B30" s="1581"/>
      <c r="C30" s="1612"/>
      <c r="D30" s="1612"/>
      <c r="E30" s="269" t="s">
        <v>259</v>
      </c>
      <c r="F30" s="85">
        <v>4500</v>
      </c>
      <c r="G30" s="1584"/>
      <c r="H30" s="1584"/>
      <c r="I30" s="1584"/>
      <c r="J30" s="1584"/>
      <c r="K30" s="1584"/>
      <c r="L30" s="1584"/>
      <c r="M30" s="1584"/>
      <c r="N30" s="1584"/>
      <c r="O30" s="1584"/>
      <c r="P30" s="1584"/>
      <c r="Q30" s="1584"/>
      <c r="R30" s="1584"/>
      <c r="S30" s="1584"/>
      <c r="T30" s="1587"/>
      <c r="U30" s="1590"/>
    </row>
    <row r="31" spans="1:21" ht="21.75">
      <c r="A31" s="1601"/>
      <c r="B31" s="1581"/>
      <c r="C31" s="1612"/>
      <c r="D31" s="1612"/>
      <c r="E31" s="86" t="s">
        <v>222</v>
      </c>
      <c r="F31" s="85">
        <v>5000</v>
      </c>
      <c r="G31" s="1585"/>
      <c r="H31" s="1585"/>
      <c r="I31" s="1585"/>
      <c r="J31" s="1585"/>
      <c r="K31" s="1585"/>
      <c r="L31" s="1585"/>
      <c r="M31" s="1585"/>
      <c r="N31" s="1585"/>
      <c r="O31" s="1585"/>
      <c r="P31" s="1585"/>
      <c r="Q31" s="1585"/>
      <c r="R31" s="1585"/>
      <c r="S31" s="1585"/>
      <c r="T31" s="1588"/>
      <c r="U31" s="1591"/>
    </row>
    <row r="32" spans="1:21" ht="21.75">
      <c r="A32" s="1602"/>
      <c r="B32" s="1582"/>
      <c r="C32" s="1613"/>
      <c r="D32" s="1613"/>
      <c r="E32" s="87" t="s">
        <v>4</v>
      </c>
      <c r="F32" s="94">
        <v>38600</v>
      </c>
      <c r="G32" s="82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83"/>
      <c r="U32" s="83"/>
    </row>
    <row r="33" spans="1:21" ht="114.75">
      <c r="A33" s="95" t="s">
        <v>260</v>
      </c>
      <c r="B33" s="257" t="s">
        <v>261</v>
      </c>
      <c r="C33" s="269" t="s">
        <v>262</v>
      </c>
      <c r="D33" s="257" t="s">
        <v>263</v>
      </c>
      <c r="E33" s="90" t="s">
        <v>264</v>
      </c>
      <c r="F33" s="85">
        <v>6000</v>
      </c>
      <c r="G33" s="96" t="s">
        <v>218</v>
      </c>
      <c r="H33" s="270" t="s">
        <v>265</v>
      </c>
      <c r="I33" s="270"/>
      <c r="J33" s="270"/>
      <c r="K33" s="93">
        <v>3000</v>
      </c>
      <c r="L33" s="270"/>
      <c r="M33" s="270"/>
      <c r="N33" s="270"/>
      <c r="O33" s="270"/>
      <c r="P33" s="270">
        <v>3000</v>
      </c>
      <c r="Q33" s="270"/>
      <c r="R33" s="270"/>
      <c r="S33" s="270"/>
      <c r="T33" s="97"/>
      <c r="U33" s="97" t="s">
        <v>229</v>
      </c>
    </row>
    <row r="34" spans="1:21" s="470" customFormat="1" ht="21.75">
      <c r="A34" s="1608" t="s">
        <v>266</v>
      </c>
      <c r="B34" s="1609"/>
      <c r="C34" s="1609"/>
      <c r="D34" s="1609"/>
      <c r="E34" s="1610"/>
      <c r="F34" s="98"/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1"/>
    </row>
    <row r="35" spans="1:21" ht="65.25">
      <c r="A35" s="268" t="s">
        <v>267</v>
      </c>
      <c r="B35" s="102" t="s">
        <v>268</v>
      </c>
      <c r="C35" s="257" t="s">
        <v>269</v>
      </c>
      <c r="D35" s="103" t="s">
        <v>270</v>
      </c>
      <c r="E35" s="90" t="s">
        <v>271</v>
      </c>
      <c r="F35" s="85">
        <v>7200</v>
      </c>
      <c r="G35" s="96" t="s">
        <v>218</v>
      </c>
      <c r="H35" s="270" t="s">
        <v>272</v>
      </c>
      <c r="I35" s="270"/>
      <c r="J35" s="270"/>
      <c r="K35" s="270"/>
      <c r="L35" s="270"/>
      <c r="M35" s="270"/>
      <c r="N35" s="270"/>
      <c r="O35" s="270"/>
      <c r="P35" s="270">
        <v>7200</v>
      </c>
      <c r="Q35" s="270"/>
      <c r="R35" s="270"/>
      <c r="S35" s="270"/>
      <c r="T35" s="97"/>
      <c r="U35" s="97" t="s">
        <v>273</v>
      </c>
    </row>
    <row r="36" spans="1:21" s="470" customFormat="1" ht="21.75">
      <c r="A36" s="1608" t="s">
        <v>274</v>
      </c>
      <c r="B36" s="1609"/>
      <c r="C36" s="1609"/>
      <c r="D36" s="1609"/>
      <c r="E36" s="1610"/>
      <c r="F36" s="104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4"/>
      <c r="U36" s="104"/>
    </row>
    <row r="37" spans="1:21" ht="87">
      <c r="A37" s="268" t="s">
        <v>275</v>
      </c>
      <c r="B37" s="102" t="s">
        <v>276</v>
      </c>
      <c r="C37" s="267" t="s">
        <v>269</v>
      </c>
      <c r="D37" s="103" t="s">
        <v>277</v>
      </c>
      <c r="E37" s="90" t="s">
        <v>278</v>
      </c>
      <c r="F37" s="85">
        <v>7200</v>
      </c>
      <c r="G37" s="96" t="s">
        <v>218</v>
      </c>
      <c r="H37" s="105" t="s">
        <v>272</v>
      </c>
      <c r="I37" s="270"/>
      <c r="J37" s="270"/>
      <c r="K37" s="270"/>
      <c r="L37" s="270"/>
      <c r="M37" s="270"/>
      <c r="N37" s="270"/>
      <c r="O37" s="270"/>
      <c r="P37" s="270">
        <v>7200</v>
      </c>
      <c r="Q37" s="270"/>
      <c r="R37" s="270"/>
      <c r="S37" s="270"/>
      <c r="T37" s="97"/>
      <c r="U37" s="97" t="s">
        <v>229</v>
      </c>
    </row>
    <row r="38" spans="1:21" ht="21.75">
      <c r="A38" s="1619" t="s">
        <v>279</v>
      </c>
      <c r="B38" s="1620"/>
      <c r="C38" s="1620"/>
      <c r="D38" s="1620"/>
      <c r="E38" s="1621"/>
      <c r="F38" s="81"/>
      <c r="G38" s="82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83"/>
      <c r="U38" s="83"/>
    </row>
    <row r="39" spans="1:21" ht="87">
      <c r="A39" s="268" t="s">
        <v>280</v>
      </c>
      <c r="B39" s="102" t="s">
        <v>268</v>
      </c>
      <c r="C39" s="267" t="s">
        <v>269</v>
      </c>
      <c r="D39" s="103" t="s">
        <v>281</v>
      </c>
      <c r="E39" s="90" t="s">
        <v>278</v>
      </c>
      <c r="F39" s="85">
        <v>7200</v>
      </c>
      <c r="G39" s="96" t="s">
        <v>282</v>
      </c>
      <c r="H39" s="270" t="s">
        <v>283</v>
      </c>
      <c r="I39" s="270"/>
      <c r="J39" s="270"/>
      <c r="K39" s="270"/>
      <c r="L39" s="270"/>
      <c r="M39" s="270"/>
      <c r="N39" s="93">
        <v>7200</v>
      </c>
      <c r="O39" s="270"/>
      <c r="P39" s="270"/>
      <c r="Q39" s="270"/>
      <c r="R39" s="270"/>
      <c r="S39" s="270"/>
      <c r="T39" s="97"/>
      <c r="U39" s="97" t="s">
        <v>229</v>
      </c>
    </row>
    <row r="40" spans="1:21" ht="21.75">
      <c r="A40" s="1619" t="s">
        <v>284</v>
      </c>
      <c r="B40" s="1620"/>
      <c r="C40" s="1620"/>
      <c r="D40" s="1620"/>
      <c r="E40" s="1621"/>
      <c r="F40" s="81"/>
      <c r="G40" s="82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97"/>
      <c r="U40" s="97"/>
    </row>
    <row r="41" spans="1:21" ht="43.5">
      <c r="A41" s="1622" t="s">
        <v>285</v>
      </c>
      <c r="B41" s="1625" t="s">
        <v>286</v>
      </c>
      <c r="C41" s="1628" t="s">
        <v>287</v>
      </c>
      <c r="D41" s="1611" t="s">
        <v>288</v>
      </c>
      <c r="E41" s="84" t="s">
        <v>227</v>
      </c>
      <c r="F41" s="106">
        <v>2400</v>
      </c>
      <c r="G41" s="1642" t="s">
        <v>218</v>
      </c>
      <c r="H41" s="1592"/>
      <c r="I41" s="1592"/>
      <c r="J41" s="1592"/>
      <c r="K41" s="1592"/>
      <c r="L41" s="1592"/>
      <c r="M41" s="1583">
        <v>5400</v>
      </c>
      <c r="N41" s="1592"/>
      <c r="O41" s="1592"/>
      <c r="P41" s="1583"/>
      <c r="Q41" s="1592"/>
      <c r="R41" s="1592"/>
      <c r="S41" s="1592"/>
      <c r="T41" s="1589"/>
      <c r="U41" s="1589" t="s">
        <v>273</v>
      </c>
    </row>
    <row r="42" spans="1:21" ht="65.25">
      <c r="A42" s="1623"/>
      <c r="B42" s="1626"/>
      <c r="C42" s="1629"/>
      <c r="D42" s="1612"/>
      <c r="E42" s="84" t="s">
        <v>289</v>
      </c>
      <c r="F42" s="107">
        <v>1200</v>
      </c>
      <c r="G42" s="1643"/>
      <c r="H42" s="1584"/>
      <c r="I42" s="1584"/>
      <c r="J42" s="1584"/>
      <c r="K42" s="1584"/>
      <c r="L42" s="1584"/>
      <c r="M42" s="1640"/>
      <c r="N42" s="1584"/>
      <c r="O42" s="1584"/>
      <c r="P42" s="1640"/>
      <c r="Q42" s="1584"/>
      <c r="R42" s="1584"/>
      <c r="S42" s="1584"/>
      <c r="T42" s="1590"/>
      <c r="U42" s="1590"/>
    </row>
    <row r="43" spans="1:21" ht="65.25">
      <c r="A43" s="1623"/>
      <c r="B43" s="1626"/>
      <c r="C43" s="1629"/>
      <c r="D43" s="1612"/>
      <c r="E43" s="84" t="s">
        <v>290</v>
      </c>
      <c r="F43" s="107">
        <v>1800</v>
      </c>
      <c r="G43" s="1644"/>
      <c r="H43" s="1585"/>
      <c r="I43" s="1585"/>
      <c r="J43" s="1585"/>
      <c r="K43" s="1585"/>
      <c r="L43" s="1585"/>
      <c r="M43" s="1641"/>
      <c r="N43" s="1585"/>
      <c r="O43" s="1585"/>
      <c r="P43" s="1641"/>
      <c r="Q43" s="1585"/>
      <c r="R43" s="1585"/>
      <c r="S43" s="1585"/>
      <c r="T43" s="1591"/>
      <c r="U43" s="1591"/>
    </row>
    <row r="44" spans="1:21" ht="21.75">
      <c r="A44" s="1624"/>
      <c r="B44" s="1627"/>
      <c r="C44" s="1630"/>
      <c r="D44" s="1613"/>
      <c r="E44" s="87" t="s">
        <v>4</v>
      </c>
      <c r="F44" s="94">
        <v>5400</v>
      </c>
      <c r="G44" s="82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97"/>
      <c r="U44" s="97"/>
    </row>
    <row r="45" spans="1:21" ht="21.75">
      <c r="A45" s="1631" t="s">
        <v>291</v>
      </c>
      <c r="B45" s="1632"/>
      <c r="C45" s="1632"/>
      <c r="D45" s="1632"/>
      <c r="E45" s="1633"/>
      <c r="F45" s="81"/>
      <c r="G45" s="82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83"/>
      <c r="U45" s="83"/>
    </row>
    <row r="46" spans="1:21" ht="87">
      <c r="A46" s="108" t="s">
        <v>292</v>
      </c>
      <c r="B46" s="109" t="s">
        <v>293</v>
      </c>
      <c r="C46" s="267" t="s">
        <v>269</v>
      </c>
      <c r="D46" s="103" t="s">
        <v>281</v>
      </c>
      <c r="E46" s="90" t="s">
        <v>278</v>
      </c>
      <c r="F46" s="85">
        <v>7200</v>
      </c>
      <c r="G46" s="96" t="s">
        <v>218</v>
      </c>
      <c r="H46" s="270" t="s">
        <v>283</v>
      </c>
      <c r="I46" s="270"/>
      <c r="J46" s="270"/>
      <c r="K46" s="270"/>
      <c r="L46" s="270"/>
      <c r="M46" s="270"/>
      <c r="N46" s="93">
        <v>7200</v>
      </c>
      <c r="O46" s="270"/>
      <c r="P46" s="270"/>
      <c r="Q46" s="270"/>
      <c r="R46" s="270"/>
      <c r="S46" s="270"/>
      <c r="T46" s="97"/>
      <c r="U46" s="97" t="s">
        <v>229</v>
      </c>
    </row>
    <row r="47" spans="1:21" ht="21.75">
      <c r="A47" s="1634" t="s">
        <v>294</v>
      </c>
      <c r="B47" s="1635"/>
      <c r="C47" s="1635"/>
      <c r="D47" s="1635"/>
      <c r="E47" s="1636"/>
      <c r="F47" s="81"/>
      <c r="G47" s="82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83"/>
      <c r="U47" s="83"/>
    </row>
    <row r="48" spans="1:21" ht="122.25">
      <c r="A48" s="268" t="s">
        <v>295</v>
      </c>
      <c r="B48" s="102" t="s">
        <v>296</v>
      </c>
      <c r="C48" s="269" t="s">
        <v>297</v>
      </c>
      <c r="D48" s="102" t="s">
        <v>298</v>
      </c>
      <c r="E48" s="84" t="s">
        <v>299</v>
      </c>
      <c r="F48" s="85">
        <v>3600</v>
      </c>
      <c r="G48" s="96" t="s">
        <v>218</v>
      </c>
      <c r="H48" s="270" t="s">
        <v>300</v>
      </c>
      <c r="I48" s="270"/>
      <c r="J48" s="270"/>
      <c r="K48" s="270">
        <v>600</v>
      </c>
      <c r="L48" s="270">
        <v>600</v>
      </c>
      <c r="M48" s="270">
        <v>600</v>
      </c>
      <c r="N48" s="270">
        <v>600</v>
      </c>
      <c r="O48" s="270"/>
      <c r="P48" s="270"/>
      <c r="Q48" s="270">
        <v>600</v>
      </c>
      <c r="R48" s="270">
        <v>600</v>
      </c>
      <c r="S48" s="270"/>
      <c r="T48" s="97"/>
      <c r="U48" s="97" t="s">
        <v>229</v>
      </c>
    </row>
    <row r="49" spans="1:25" ht="21.75">
      <c r="A49" s="1637" t="s">
        <v>301</v>
      </c>
      <c r="B49" s="1638"/>
      <c r="C49" s="1638"/>
      <c r="D49" s="1638"/>
      <c r="E49" s="1639"/>
      <c r="F49" s="110"/>
      <c r="G49" s="111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6"/>
      <c r="U49" s="256"/>
    </row>
    <row r="50" spans="1:25" ht="43.5">
      <c r="A50" s="1648" t="s">
        <v>302</v>
      </c>
      <c r="B50" s="1650" t="s">
        <v>303</v>
      </c>
      <c r="C50" s="1650" t="s">
        <v>304</v>
      </c>
      <c r="D50" s="1653" t="s">
        <v>305</v>
      </c>
      <c r="E50" s="84" t="s">
        <v>306</v>
      </c>
      <c r="F50" s="112">
        <v>32000</v>
      </c>
      <c r="G50" s="1654" t="s">
        <v>282</v>
      </c>
      <c r="H50" s="1657" t="s">
        <v>307</v>
      </c>
      <c r="I50" s="1617"/>
      <c r="J50" s="1617"/>
      <c r="K50" s="1617"/>
      <c r="L50" s="1617"/>
      <c r="M50" s="1617"/>
      <c r="N50" s="1617"/>
      <c r="O50" s="1617"/>
      <c r="P50" s="1617"/>
      <c r="Q50" s="1617"/>
      <c r="R50" s="1617"/>
      <c r="S50" s="1663">
        <v>293200</v>
      </c>
      <c r="T50" s="1665"/>
      <c r="U50" s="1614" t="s">
        <v>229</v>
      </c>
    </row>
    <row r="51" spans="1:25" ht="43.5">
      <c r="A51" s="1649"/>
      <c r="B51" s="1651"/>
      <c r="C51" s="1651"/>
      <c r="D51" s="1653"/>
      <c r="E51" s="84" t="s">
        <v>308</v>
      </c>
      <c r="F51" s="113">
        <v>20000</v>
      </c>
      <c r="G51" s="1655"/>
      <c r="H51" s="1658"/>
      <c r="I51" s="1618"/>
      <c r="J51" s="1618"/>
      <c r="K51" s="1618"/>
      <c r="L51" s="1618"/>
      <c r="M51" s="1618"/>
      <c r="N51" s="1618"/>
      <c r="O51" s="1618"/>
      <c r="P51" s="1618"/>
      <c r="Q51" s="1618"/>
      <c r="R51" s="1618"/>
      <c r="S51" s="1664"/>
      <c r="T51" s="1666"/>
      <c r="U51" s="1615"/>
    </row>
    <row r="52" spans="1:25" ht="43.5">
      <c r="A52" s="1649"/>
      <c r="B52" s="1651"/>
      <c r="C52" s="1651"/>
      <c r="D52" s="1653"/>
      <c r="E52" s="84" t="s">
        <v>309</v>
      </c>
      <c r="F52" s="112">
        <v>16000</v>
      </c>
      <c r="G52" s="1655"/>
      <c r="H52" s="1658"/>
      <c r="I52" s="1618"/>
      <c r="J52" s="1618"/>
      <c r="K52" s="1618"/>
      <c r="L52" s="1618"/>
      <c r="M52" s="1618"/>
      <c r="N52" s="1618"/>
      <c r="O52" s="1618"/>
      <c r="P52" s="1618"/>
      <c r="Q52" s="1618"/>
      <c r="R52" s="1618"/>
      <c r="S52" s="1664"/>
      <c r="T52" s="1666"/>
      <c r="U52" s="1615"/>
    </row>
    <row r="53" spans="1:25" ht="43.5">
      <c r="A53" s="1649"/>
      <c r="B53" s="1651"/>
      <c r="C53" s="1651"/>
      <c r="D53" s="1653"/>
      <c r="E53" s="84" t="s">
        <v>310</v>
      </c>
      <c r="F53" s="112">
        <v>10000</v>
      </c>
      <c r="G53" s="1655"/>
      <c r="H53" s="1658"/>
      <c r="I53" s="1618"/>
      <c r="J53" s="1618"/>
      <c r="K53" s="1618"/>
      <c r="L53" s="1618"/>
      <c r="M53" s="1618"/>
      <c r="N53" s="1618"/>
      <c r="O53" s="1618"/>
      <c r="P53" s="1618"/>
      <c r="Q53" s="1618"/>
      <c r="R53" s="1618"/>
      <c r="S53" s="1664"/>
      <c r="T53" s="1666"/>
      <c r="U53" s="1615"/>
    </row>
    <row r="54" spans="1:25" ht="130.5">
      <c r="A54" s="1649"/>
      <c r="B54" s="1651"/>
      <c r="C54" s="1651"/>
      <c r="D54" s="1653"/>
      <c r="E54" s="84" t="s">
        <v>311</v>
      </c>
      <c r="F54" s="112">
        <v>70200</v>
      </c>
      <c r="G54" s="1655"/>
      <c r="H54" s="1658"/>
      <c r="I54" s="1618"/>
      <c r="J54" s="1618"/>
      <c r="K54" s="1618"/>
      <c r="L54" s="1618"/>
      <c r="M54" s="1618"/>
      <c r="N54" s="1618"/>
      <c r="O54" s="1618"/>
      <c r="P54" s="1618"/>
      <c r="Q54" s="1618"/>
      <c r="R54" s="1618"/>
      <c r="S54" s="1664"/>
      <c r="T54" s="1666"/>
      <c r="U54" s="1615"/>
    </row>
    <row r="55" spans="1:25" ht="409.5">
      <c r="A55" s="1649"/>
      <c r="B55" s="1651"/>
      <c r="C55" s="1651"/>
      <c r="D55" s="1653"/>
      <c r="E55" s="114" t="s">
        <v>312</v>
      </c>
      <c r="F55" s="112">
        <v>98000</v>
      </c>
      <c r="G55" s="1655"/>
      <c r="H55" s="1658"/>
      <c r="I55" s="1618"/>
      <c r="J55" s="1618"/>
      <c r="K55" s="1618"/>
      <c r="L55" s="1618"/>
      <c r="M55" s="1618"/>
      <c r="N55" s="1618"/>
      <c r="O55" s="1618"/>
      <c r="P55" s="1618"/>
      <c r="Q55" s="1618"/>
      <c r="R55" s="1618"/>
      <c r="S55" s="1664"/>
      <c r="T55" s="1666"/>
      <c r="U55" s="1615"/>
    </row>
    <row r="56" spans="1:25" ht="43.5">
      <c r="A56" s="1649"/>
      <c r="B56" s="1651"/>
      <c r="C56" s="1651"/>
      <c r="D56" s="1653"/>
      <c r="E56" s="84" t="s">
        <v>313</v>
      </c>
      <c r="F56" s="112">
        <v>30000</v>
      </c>
      <c r="G56" s="1655"/>
      <c r="H56" s="1658"/>
      <c r="I56" s="1618"/>
      <c r="J56" s="1618"/>
      <c r="K56" s="1618"/>
      <c r="L56" s="1618"/>
      <c r="M56" s="1618"/>
      <c r="N56" s="1618"/>
      <c r="O56" s="1618"/>
      <c r="P56" s="1618"/>
      <c r="Q56" s="1618"/>
      <c r="R56" s="1618"/>
      <c r="S56" s="1664"/>
      <c r="T56" s="1666"/>
      <c r="U56" s="1615"/>
    </row>
    <row r="57" spans="1:25" ht="43.5">
      <c r="A57" s="1649"/>
      <c r="B57" s="1651"/>
      <c r="C57" s="1651"/>
      <c r="D57" s="1653"/>
      <c r="E57" s="84" t="s">
        <v>314</v>
      </c>
      <c r="F57" s="112">
        <v>5000</v>
      </c>
      <c r="G57" s="1655"/>
      <c r="H57" s="1658"/>
      <c r="I57" s="1618"/>
      <c r="J57" s="1618"/>
      <c r="K57" s="1618"/>
      <c r="L57" s="1618"/>
      <c r="M57" s="1618"/>
      <c r="N57" s="1618"/>
      <c r="O57" s="1618"/>
      <c r="P57" s="1618"/>
      <c r="Q57" s="1618"/>
      <c r="R57" s="1618"/>
      <c r="S57" s="1664"/>
      <c r="T57" s="1666"/>
      <c r="U57" s="1615"/>
    </row>
    <row r="58" spans="1:25" ht="43.5">
      <c r="A58" s="1649"/>
      <c r="B58" s="1651"/>
      <c r="C58" s="1651"/>
      <c r="D58" s="1653"/>
      <c r="E58" s="84" t="s">
        <v>315</v>
      </c>
      <c r="F58" s="112">
        <v>2000</v>
      </c>
      <c r="G58" s="1655"/>
      <c r="H58" s="1658"/>
      <c r="I58" s="1618"/>
      <c r="J58" s="1618"/>
      <c r="K58" s="1618"/>
      <c r="L58" s="1618"/>
      <c r="M58" s="1618"/>
      <c r="N58" s="1618"/>
      <c r="O58" s="1618"/>
      <c r="P58" s="1618"/>
      <c r="Q58" s="1618"/>
      <c r="R58" s="1618"/>
      <c r="S58" s="1664"/>
      <c r="T58" s="1666"/>
      <c r="U58" s="1615"/>
    </row>
    <row r="59" spans="1:25" ht="43.5">
      <c r="A59" s="1649"/>
      <c r="B59" s="1651"/>
      <c r="C59" s="1651"/>
      <c r="D59" s="1653"/>
      <c r="E59" s="84" t="s">
        <v>316</v>
      </c>
      <c r="F59" s="112">
        <v>10000</v>
      </c>
      <c r="G59" s="1656"/>
      <c r="H59" s="1658"/>
      <c r="I59" s="1618"/>
      <c r="J59" s="1618"/>
      <c r="K59" s="1618"/>
      <c r="L59" s="1618"/>
      <c r="M59" s="1618"/>
      <c r="N59" s="1618"/>
      <c r="O59" s="1618"/>
      <c r="P59" s="1618"/>
      <c r="Q59" s="1618"/>
      <c r="R59" s="1618"/>
      <c r="S59" s="1664"/>
      <c r="T59" s="1666"/>
      <c r="U59" s="1616"/>
    </row>
    <row r="60" spans="1:25" ht="21.75">
      <c r="A60" s="1659"/>
      <c r="B60" s="1652"/>
      <c r="C60" s="1652"/>
      <c r="D60" s="1653"/>
      <c r="E60" s="115" t="s">
        <v>4</v>
      </c>
      <c r="F60" s="116">
        <f>SUM(F50:F59)</f>
        <v>293200</v>
      </c>
      <c r="G60" s="117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8"/>
    </row>
    <row r="61" spans="1:25" s="147" customFormat="1" ht="21.75">
      <c r="A61" s="1645" t="s">
        <v>317</v>
      </c>
      <c r="B61" s="1646"/>
      <c r="C61" s="1646"/>
      <c r="D61" s="1646"/>
      <c r="E61" s="1647"/>
      <c r="F61" s="81"/>
      <c r="G61" s="82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83"/>
      <c r="U61" s="83"/>
    </row>
    <row r="62" spans="1:25" s="147" customFormat="1" ht="43.5">
      <c r="A62" s="1648" t="s">
        <v>318</v>
      </c>
      <c r="B62" s="1580" t="s">
        <v>319</v>
      </c>
      <c r="C62" s="1611" t="s">
        <v>320</v>
      </c>
      <c r="D62" s="1611" t="s">
        <v>321</v>
      </c>
      <c r="E62" s="84" t="s">
        <v>322</v>
      </c>
      <c r="F62" s="85">
        <v>19200</v>
      </c>
      <c r="G62" s="1592" t="s">
        <v>218</v>
      </c>
      <c r="H62" s="1596" t="s">
        <v>323</v>
      </c>
      <c r="I62" s="1592"/>
      <c r="J62" s="1583">
        <v>50800</v>
      </c>
      <c r="K62" s="1592"/>
      <c r="L62" s="1592"/>
      <c r="M62" s="1592"/>
      <c r="N62" s="1592"/>
      <c r="O62" s="1592"/>
      <c r="P62" s="1592"/>
      <c r="Q62" s="1592"/>
      <c r="R62" s="1592"/>
      <c r="S62" s="1592"/>
      <c r="T62" s="1586"/>
      <c r="U62" s="1589" t="s">
        <v>220</v>
      </c>
      <c r="W62" s="120">
        <v>120</v>
      </c>
      <c r="X62" s="120">
        <v>2</v>
      </c>
      <c r="Y62" s="120">
        <v>80</v>
      </c>
    </row>
    <row r="63" spans="1:25" s="147" customFormat="1" ht="65.25">
      <c r="A63" s="1649"/>
      <c r="B63" s="1581"/>
      <c r="C63" s="1612"/>
      <c r="D63" s="1612"/>
      <c r="E63" s="121" t="s">
        <v>324</v>
      </c>
      <c r="F63" s="85">
        <v>9600</v>
      </c>
      <c r="G63" s="1584"/>
      <c r="H63" s="1584"/>
      <c r="I63" s="1584"/>
      <c r="J63" s="1584"/>
      <c r="K63" s="1584"/>
      <c r="L63" s="1584"/>
      <c r="M63" s="1584"/>
      <c r="N63" s="1584"/>
      <c r="O63" s="1584"/>
      <c r="P63" s="1584"/>
      <c r="Q63" s="1584"/>
      <c r="R63" s="1584"/>
      <c r="S63" s="1584"/>
      <c r="T63" s="1587"/>
      <c r="U63" s="1590"/>
      <c r="W63" s="120">
        <v>120</v>
      </c>
      <c r="X63" s="120">
        <v>4</v>
      </c>
      <c r="Y63" s="120">
        <v>20</v>
      </c>
    </row>
    <row r="64" spans="1:25" s="147" customFormat="1" ht="65.25">
      <c r="A64" s="1649"/>
      <c r="B64" s="1581"/>
      <c r="C64" s="1612"/>
      <c r="D64" s="1612"/>
      <c r="E64" s="84" t="s">
        <v>325</v>
      </c>
      <c r="F64" s="85">
        <v>6000</v>
      </c>
      <c r="G64" s="1584"/>
      <c r="H64" s="1584"/>
      <c r="I64" s="1584"/>
      <c r="J64" s="1584"/>
      <c r="K64" s="1584"/>
      <c r="L64" s="1584"/>
      <c r="M64" s="1584"/>
      <c r="N64" s="1584"/>
      <c r="O64" s="1584"/>
      <c r="P64" s="1584"/>
      <c r="Q64" s="1584"/>
      <c r="R64" s="1584"/>
      <c r="S64" s="1584"/>
      <c r="T64" s="1587"/>
      <c r="U64" s="1590"/>
      <c r="W64" s="120">
        <v>5</v>
      </c>
      <c r="X64" s="120">
        <v>2</v>
      </c>
      <c r="Y64" s="120">
        <v>600</v>
      </c>
    </row>
    <row r="65" spans="1:25" s="147" customFormat="1" ht="43.5">
      <c r="A65" s="1649"/>
      <c r="B65" s="1581"/>
      <c r="C65" s="1612"/>
      <c r="D65" s="1612"/>
      <c r="E65" s="269" t="s">
        <v>326</v>
      </c>
      <c r="F65" s="85">
        <v>10000</v>
      </c>
      <c r="G65" s="1584"/>
      <c r="H65" s="1584"/>
      <c r="I65" s="1584"/>
      <c r="J65" s="1584"/>
      <c r="K65" s="1584"/>
      <c r="L65" s="1584"/>
      <c r="M65" s="1584"/>
      <c r="N65" s="1584"/>
      <c r="O65" s="1584"/>
      <c r="P65" s="1584"/>
      <c r="Q65" s="1584"/>
      <c r="R65" s="1584"/>
      <c r="S65" s="1584"/>
      <c r="T65" s="1587"/>
      <c r="U65" s="1590"/>
      <c r="W65" s="120">
        <v>1</v>
      </c>
      <c r="X65" s="120">
        <v>2</v>
      </c>
      <c r="Y65" s="120">
        <v>5000</v>
      </c>
    </row>
    <row r="66" spans="1:25" s="147" customFormat="1" ht="21.75">
      <c r="A66" s="1649"/>
      <c r="B66" s="1581"/>
      <c r="C66" s="1612"/>
      <c r="D66" s="1612"/>
      <c r="E66" s="269" t="s">
        <v>327</v>
      </c>
      <c r="F66" s="85">
        <v>6000</v>
      </c>
      <c r="G66" s="1584"/>
      <c r="H66" s="1584"/>
      <c r="I66" s="1584"/>
      <c r="J66" s="1584"/>
      <c r="K66" s="1584"/>
      <c r="L66" s="1584"/>
      <c r="M66" s="1584"/>
      <c r="N66" s="1584"/>
      <c r="O66" s="1584"/>
      <c r="P66" s="1584"/>
      <c r="Q66" s="1584"/>
      <c r="R66" s="1584"/>
      <c r="S66" s="1584"/>
      <c r="T66" s="1587"/>
      <c r="U66" s="1590"/>
    </row>
    <row r="67" spans="1:25" s="147" customFormat="1" ht="21.75">
      <c r="A67" s="1649"/>
      <c r="B67" s="1582"/>
      <c r="C67" s="1613"/>
      <c r="D67" s="1613"/>
      <c r="E67" s="87" t="s">
        <v>4</v>
      </c>
      <c r="F67" s="122">
        <v>50800</v>
      </c>
      <c r="G67" s="82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83"/>
      <c r="U67" s="83"/>
    </row>
    <row r="68" spans="1:25" s="147" customFormat="1" ht="21.75">
      <c r="A68" s="1660" t="s">
        <v>328</v>
      </c>
      <c r="B68" s="1661"/>
      <c r="C68" s="1661"/>
      <c r="D68" s="1661"/>
      <c r="E68" s="1662"/>
      <c r="F68" s="81"/>
      <c r="G68" s="82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83"/>
      <c r="U68" s="83"/>
    </row>
    <row r="69" spans="1:25" s="147" customFormat="1" ht="43.5">
      <c r="A69" s="1600" t="s">
        <v>329</v>
      </c>
      <c r="B69" s="1650" t="s">
        <v>330</v>
      </c>
      <c r="C69" s="1667" t="s">
        <v>331</v>
      </c>
      <c r="D69" s="1669" t="s">
        <v>332</v>
      </c>
      <c r="E69" s="123" t="s">
        <v>333</v>
      </c>
      <c r="F69" s="124">
        <v>2800</v>
      </c>
      <c r="G69" s="125"/>
      <c r="H69" s="1681" t="s">
        <v>334</v>
      </c>
      <c r="I69" s="270"/>
      <c r="J69" s="1583">
        <v>19300</v>
      </c>
      <c r="K69" s="270"/>
      <c r="L69" s="270"/>
      <c r="M69" s="270"/>
      <c r="N69" s="270"/>
      <c r="O69" s="270"/>
      <c r="P69" s="270"/>
      <c r="Q69" s="270"/>
      <c r="R69" s="270"/>
      <c r="S69" s="270"/>
      <c r="T69" s="83"/>
      <c r="U69" s="1673" t="s">
        <v>229</v>
      </c>
    </row>
    <row r="70" spans="1:25" s="147" customFormat="1" ht="43.5">
      <c r="A70" s="1601"/>
      <c r="B70" s="1651"/>
      <c r="C70" s="1677"/>
      <c r="D70" s="1685"/>
      <c r="E70" s="123" t="s">
        <v>335</v>
      </c>
      <c r="F70" s="124">
        <v>1400</v>
      </c>
      <c r="G70" s="125"/>
      <c r="H70" s="1682"/>
      <c r="I70" s="270"/>
      <c r="J70" s="1584"/>
      <c r="K70" s="270"/>
      <c r="L70" s="270"/>
      <c r="M70" s="270"/>
      <c r="N70" s="270"/>
      <c r="O70" s="270"/>
      <c r="P70" s="270"/>
      <c r="Q70" s="270"/>
      <c r="R70" s="270"/>
      <c r="S70" s="270"/>
      <c r="T70" s="83"/>
      <c r="U70" s="1675"/>
    </row>
    <row r="71" spans="1:25" s="147" customFormat="1" ht="21.75">
      <c r="A71" s="1601"/>
      <c r="B71" s="1651"/>
      <c r="C71" s="1677"/>
      <c r="D71" s="1685"/>
      <c r="E71" s="123" t="s">
        <v>336</v>
      </c>
      <c r="F71" s="85">
        <v>2000</v>
      </c>
      <c r="G71" s="1671" t="s">
        <v>218</v>
      </c>
      <c r="H71" s="1682"/>
      <c r="I71" s="270"/>
      <c r="J71" s="1584"/>
      <c r="K71" s="270"/>
      <c r="L71" s="270"/>
      <c r="M71" s="270"/>
      <c r="N71" s="270"/>
      <c r="O71" s="270"/>
      <c r="P71" s="270"/>
      <c r="Q71" s="270"/>
      <c r="R71" s="270"/>
      <c r="S71" s="270"/>
      <c r="T71" s="83"/>
      <c r="U71" s="1675"/>
    </row>
    <row r="72" spans="1:25" s="147" customFormat="1" ht="21.75">
      <c r="A72" s="1601"/>
      <c r="B72" s="1651"/>
      <c r="C72" s="1677"/>
      <c r="D72" s="1685"/>
      <c r="E72" s="123" t="s">
        <v>337</v>
      </c>
      <c r="F72" s="85">
        <v>2000</v>
      </c>
      <c r="G72" s="1676"/>
      <c r="H72" s="1682"/>
      <c r="I72" s="270"/>
      <c r="J72" s="1584"/>
      <c r="K72" s="270"/>
      <c r="L72" s="270"/>
      <c r="M72" s="270"/>
      <c r="N72" s="270"/>
      <c r="O72" s="270"/>
      <c r="P72" s="270"/>
      <c r="Q72" s="270"/>
      <c r="R72" s="270"/>
      <c r="S72" s="270"/>
      <c r="T72" s="83"/>
      <c r="U72" s="1675"/>
    </row>
    <row r="73" spans="1:25" s="147" customFormat="1" ht="21.75">
      <c r="A73" s="1601"/>
      <c r="B73" s="1651"/>
      <c r="C73" s="1677"/>
      <c r="D73" s="1685"/>
      <c r="E73" s="123" t="s">
        <v>338</v>
      </c>
      <c r="F73" s="124">
        <v>3600</v>
      </c>
      <c r="G73" s="1676"/>
      <c r="H73" s="1682"/>
      <c r="I73" s="270"/>
      <c r="J73" s="1584"/>
      <c r="K73" s="270"/>
      <c r="L73" s="270"/>
      <c r="M73" s="270"/>
      <c r="N73" s="270"/>
      <c r="O73" s="270"/>
      <c r="P73" s="270"/>
      <c r="Q73" s="270"/>
      <c r="R73" s="270"/>
      <c r="S73" s="270"/>
      <c r="T73" s="83"/>
      <c r="U73" s="1675"/>
    </row>
    <row r="74" spans="1:25" s="147" customFormat="1" ht="21.75">
      <c r="A74" s="1601"/>
      <c r="B74" s="1651"/>
      <c r="C74" s="1677"/>
      <c r="D74" s="1685"/>
      <c r="E74" s="123" t="s">
        <v>339</v>
      </c>
      <c r="F74" s="124">
        <v>1800</v>
      </c>
      <c r="G74" s="1676"/>
      <c r="H74" s="1682"/>
      <c r="I74" s="270"/>
      <c r="J74" s="1584"/>
      <c r="K74" s="270"/>
      <c r="L74" s="270"/>
      <c r="M74" s="270"/>
      <c r="N74" s="270"/>
      <c r="O74" s="270"/>
      <c r="P74" s="270"/>
      <c r="Q74" s="270"/>
      <c r="R74" s="270"/>
      <c r="S74" s="270"/>
      <c r="T74" s="83"/>
      <c r="U74" s="1675"/>
    </row>
    <row r="75" spans="1:25" s="147" customFormat="1" ht="21.75">
      <c r="A75" s="1601"/>
      <c r="B75" s="1651"/>
      <c r="C75" s="1677"/>
      <c r="D75" s="1685"/>
      <c r="E75" s="123" t="s">
        <v>340</v>
      </c>
      <c r="F75" s="124">
        <v>4000</v>
      </c>
      <c r="G75" s="1676"/>
      <c r="H75" s="1682"/>
      <c r="I75" s="270"/>
      <c r="J75" s="1584"/>
      <c r="K75" s="270"/>
      <c r="L75" s="270"/>
      <c r="M75" s="270"/>
      <c r="N75" s="270"/>
      <c r="O75" s="270"/>
      <c r="P75" s="270"/>
      <c r="Q75" s="270"/>
      <c r="R75" s="270"/>
      <c r="S75" s="270"/>
      <c r="T75" s="83"/>
      <c r="U75" s="1675"/>
    </row>
    <row r="76" spans="1:25" s="144" customFormat="1" ht="43.5">
      <c r="A76" s="1602"/>
      <c r="B76" s="1652"/>
      <c r="C76" s="1668"/>
      <c r="D76" s="1670"/>
      <c r="E76" s="126" t="s">
        <v>341</v>
      </c>
      <c r="F76" s="127">
        <v>1700</v>
      </c>
      <c r="G76" s="1672"/>
      <c r="H76" s="1683"/>
      <c r="I76" s="128"/>
      <c r="J76" s="1585"/>
      <c r="K76" s="128"/>
      <c r="L76" s="128"/>
      <c r="M76" s="128"/>
      <c r="N76" s="129"/>
      <c r="O76" s="128"/>
      <c r="P76" s="128"/>
      <c r="Q76" s="128"/>
      <c r="R76" s="128"/>
      <c r="S76" s="128"/>
      <c r="T76" s="130"/>
      <c r="U76" s="1674"/>
      <c r="W76" s="131">
        <v>120</v>
      </c>
      <c r="X76" s="131">
        <v>2</v>
      </c>
      <c r="Y76" s="131">
        <v>80</v>
      </c>
    </row>
    <row r="77" spans="1:25" s="144" customFormat="1" ht="21.75">
      <c r="A77" s="246"/>
      <c r="B77" s="245"/>
      <c r="C77" s="246"/>
      <c r="D77" s="247"/>
      <c r="E77" s="132" t="s">
        <v>4</v>
      </c>
      <c r="F77" s="133">
        <f>SUM(F69:F76)</f>
        <v>19300</v>
      </c>
      <c r="G77" s="248"/>
      <c r="H77" s="251"/>
      <c r="I77" s="128"/>
      <c r="J77" s="134"/>
      <c r="K77" s="128"/>
      <c r="L77" s="128"/>
      <c r="M77" s="128"/>
      <c r="N77" s="129"/>
      <c r="O77" s="128"/>
      <c r="P77" s="128"/>
      <c r="Q77" s="128"/>
      <c r="R77" s="128"/>
      <c r="S77" s="128"/>
      <c r="T77" s="130"/>
      <c r="U77" s="130"/>
      <c r="W77" s="131"/>
      <c r="X77" s="131"/>
      <c r="Y77" s="131"/>
    </row>
    <row r="78" spans="1:25" s="144" customFormat="1" ht="43.5">
      <c r="A78" s="1600" t="s">
        <v>342</v>
      </c>
      <c r="B78" s="1650" t="s">
        <v>343</v>
      </c>
      <c r="C78" s="1667" t="s">
        <v>344</v>
      </c>
      <c r="D78" s="1678" t="s">
        <v>345</v>
      </c>
      <c r="E78" s="123" t="s">
        <v>333</v>
      </c>
      <c r="F78" s="124">
        <v>2800</v>
      </c>
      <c r="G78" s="1671" t="s">
        <v>218</v>
      </c>
      <c r="H78" s="1681" t="s">
        <v>346</v>
      </c>
      <c r="I78" s="1684">
        <v>25950</v>
      </c>
      <c r="J78" s="252"/>
      <c r="K78" s="128"/>
      <c r="L78" s="128"/>
      <c r="M78" s="128"/>
      <c r="N78" s="129"/>
      <c r="O78" s="128"/>
      <c r="P78" s="128"/>
      <c r="Q78" s="128"/>
      <c r="R78" s="128"/>
      <c r="S78" s="128"/>
      <c r="T78" s="130"/>
      <c r="U78" s="1673" t="s">
        <v>229</v>
      </c>
      <c r="W78" s="131"/>
      <c r="X78" s="131"/>
      <c r="Y78" s="131"/>
    </row>
    <row r="79" spans="1:25" s="144" customFormat="1" ht="43.5">
      <c r="A79" s="1601"/>
      <c r="B79" s="1651"/>
      <c r="C79" s="1677"/>
      <c r="D79" s="1679"/>
      <c r="E79" s="123" t="s">
        <v>335</v>
      </c>
      <c r="F79" s="124">
        <v>1400</v>
      </c>
      <c r="G79" s="1676"/>
      <c r="H79" s="1682"/>
      <c r="I79" s="1682"/>
      <c r="J79" s="252"/>
      <c r="K79" s="128"/>
      <c r="L79" s="128"/>
      <c r="M79" s="128"/>
      <c r="N79" s="129"/>
      <c r="O79" s="128"/>
      <c r="P79" s="128"/>
      <c r="Q79" s="128"/>
      <c r="R79" s="128"/>
      <c r="S79" s="128"/>
      <c r="T79" s="130"/>
      <c r="U79" s="1675"/>
      <c r="W79" s="131"/>
      <c r="X79" s="131"/>
      <c r="Y79" s="131"/>
    </row>
    <row r="80" spans="1:25" s="144" customFormat="1" ht="43.5">
      <c r="A80" s="1601"/>
      <c r="B80" s="1651"/>
      <c r="C80" s="1677"/>
      <c r="D80" s="1679"/>
      <c r="E80" s="123" t="s">
        <v>347</v>
      </c>
      <c r="F80" s="124">
        <v>7200</v>
      </c>
      <c r="G80" s="1676"/>
      <c r="H80" s="1682"/>
      <c r="I80" s="1682"/>
      <c r="J80" s="252"/>
      <c r="K80" s="128"/>
      <c r="L80" s="128"/>
      <c r="M80" s="128"/>
      <c r="N80" s="129"/>
      <c r="O80" s="128"/>
      <c r="P80" s="128"/>
      <c r="Q80" s="128"/>
      <c r="R80" s="128"/>
      <c r="S80" s="128"/>
      <c r="T80" s="130"/>
      <c r="U80" s="1675"/>
      <c r="W80" s="131"/>
      <c r="X80" s="131"/>
      <c r="Y80" s="131"/>
    </row>
    <row r="81" spans="1:25" s="144" customFormat="1" ht="21.75">
      <c r="A81" s="1601"/>
      <c r="B81" s="1651"/>
      <c r="C81" s="1677"/>
      <c r="D81" s="1679"/>
      <c r="E81" s="123" t="s">
        <v>348</v>
      </c>
      <c r="F81" s="124">
        <v>6000</v>
      </c>
      <c r="G81" s="1676"/>
      <c r="H81" s="1682"/>
      <c r="I81" s="1682"/>
      <c r="J81" s="252"/>
      <c r="K81" s="128"/>
      <c r="L81" s="128"/>
      <c r="M81" s="128"/>
      <c r="N81" s="129"/>
      <c r="O81" s="128"/>
      <c r="P81" s="128"/>
      <c r="Q81" s="128"/>
      <c r="R81" s="128"/>
      <c r="S81" s="128"/>
      <c r="T81" s="130"/>
      <c r="U81" s="1675"/>
      <c r="W81" s="131"/>
      <c r="X81" s="131"/>
      <c r="Y81" s="131"/>
    </row>
    <row r="82" spans="1:25" s="144" customFormat="1" ht="43.5">
      <c r="A82" s="1601"/>
      <c r="B82" s="1651"/>
      <c r="C82" s="1677"/>
      <c r="D82" s="1679"/>
      <c r="E82" s="126" t="s">
        <v>349</v>
      </c>
      <c r="F82" s="127">
        <v>2550</v>
      </c>
      <c r="G82" s="1676"/>
      <c r="H82" s="1682"/>
      <c r="I82" s="1682"/>
      <c r="J82" s="252"/>
      <c r="K82" s="128"/>
      <c r="L82" s="128"/>
      <c r="M82" s="128"/>
      <c r="N82" s="129"/>
      <c r="O82" s="128"/>
      <c r="P82" s="128"/>
      <c r="Q82" s="128"/>
      <c r="R82" s="128"/>
      <c r="S82" s="128"/>
      <c r="T82" s="130"/>
      <c r="U82" s="1675"/>
      <c r="W82" s="131"/>
      <c r="X82" s="131"/>
      <c r="Y82" s="131"/>
    </row>
    <row r="83" spans="1:25" s="144" customFormat="1" ht="21.75">
      <c r="A83" s="1601"/>
      <c r="B83" s="1651"/>
      <c r="C83" s="1677"/>
      <c r="D83" s="1679"/>
      <c r="E83" s="123" t="s">
        <v>350</v>
      </c>
      <c r="F83" s="85">
        <v>3000</v>
      </c>
      <c r="G83" s="1676"/>
      <c r="H83" s="1682"/>
      <c r="I83" s="1682"/>
      <c r="J83" s="252"/>
      <c r="K83" s="128"/>
      <c r="L83" s="128"/>
      <c r="M83" s="128"/>
      <c r="N83" s="129"/>
      <c r="O83" s="128"/>
      <c r="P83" s="128"/>
      <c r="Q83" s="128"/>
      <c r="R83" s="128"/>
      <c r="S83" s="128"/>
      <c r="T83" s="130"/>
      <c r="U83" s="1675"/>
      <c r="W83" s="131"/>
      <c r="X83" s="131"/>
      <c r="Y83" s="131"/>
    </row>
    <row r="84" spans="1:25" s="144" customFormat="1" ht="21.75">
      <c r="A84" s="1602"/>
      <c r="B84" s="1652"/>
      <c r="C84" s="1668"/>
      <c r="D84" s="1680"/>
      <c r="E84" s="123" t="s">
        <v>351</v>
      </c>
      <c r="F84" s="85">
        <v>3000</v>
      </c>
      <c r="G84" s="1672"/>
      <c r="H84" s="1683"/>
      <c r="I84" s="1683"/>
      <c r="J84" s="252"/>
      <c r="K84" s="128"/>
      <c r="L84" s="128"/>
      <c r="M84" s="128"/>
      <c r="N84" s="129"/>
      <c r="O84" s="128"/>
      <c r="P84" s="128"/>
      <c r="Q84" s="128"/>
      <c r="R84" s="128"/>
      <c r="S84" s="128"/>
      <c r="T84" s="130"/>
      <c r="U84" s="1674"/>
      <c r="W84" s="131"/>
      <c r="X84" s="131"/>
      <c r="Y84" s="131"/>
    </row>
    <row r="85" spans="1:25" s="144" customFormat="1" ht="21.75">
      <c r="A85" s="246"/>
      <c r="B85" s="245"/>
      <c r="C85" s="246"/>
      <c r="D85" s="247"/>
      <c r="E85" s="135" t="s">
        <v>4</v>
      </c>
      <c r="F85" s="136">
        <f>SUM(F78:F84)</f>
        <v>25950</v>
      </c>
      <c r="G85" s="248"/>
      <c r="H85" s="251"/>
      <c r="I85" s="128"/>
      <c r="J85" s="252"/>
      <c r="K85" s="128"/>
      <c r="L85" s="128"/>
      <c r="M85" s="128"/>
      <c r="N85" s="129"/>
      <c r="O85" s="128"/>
      <c r="P85" s="128"/>
      <c r="Q85" s="128"/>
      <c r="R85" s="128"/>
      <c r="S85" s="128"/>
      <c r="T85" s="130"/>
      <c r="U85" s="130"/>
      <c r="W85" s="131"/>
      <c r="X85" s="131"/>
      <c r="Y85" s="131"/>
    </row>
    <row r="86" spans="1:25" s="144" customFormat="1" ht="43.5">
      <c r="A86" s="1600" t="s">
        <v>352</v>
      </c>
      <c r="B86" s="1650" t="s">
        <v>353</v>
      </c>
      <c r="C86" s="1667" t="s">
        <v>354</v>
      </c>
      <c r="D86" s="1669" t="s">
        <v>355</v>
      </c>
      <c r="E86" s="126" t="s">
        <v>356</v>
      </c>
      <c r="F86" s="127">
        <v>30000</v>
      </c>
      <c r="G86" s="1671" t="s">
        <v>282</v>
      </c>
      <c r="H86" s="251" t="s">
        <v>346</v>
      </c>
      <c r="I86" s="129">
        <v>30000</v>
      </c>
      <c r="J86" s="252"/>
      <c r="K86" s="128"/>
      <c r="L86" s="128"/>
      <c r="M86" s="128"/>
      <c r="N86" s="129"/>
      <c r="O86" s="128"/>
      <c r="P86" s="128"/>
      <c r="Q86" s="128"/>
      <c r="R86" s="128"/>
      <c r="S86" s="128"/>
      <c r="T86" s="130"/>
      <c r="U86" s="1673" t="s">
        <v>229</v>
      </c>
      <c r="W86" s="131"/>
      <c r="X86" s="131"/>
      <c r="Y86" s="131"/>
    </row>
    <row r="87" spans="1:25" s="144" customFormat="1" ht="65.25">
      <c r="A87" s="1602"/>
      <c r="B87" s="1652"/>
      <c r="C87" s="1668"/>
      <c r="D87" s="1670"/>
      <c r="E87" s="126" t="s">
        <v>357</v>
      </c>
      <c r="F87" s="127">
        <v>25000</v>
      </c>
      <c r="G87" s="1672"/>
      <c r="H87" s="251" t="s">
        <v>358</v>
      </c>
      <c r="I87" s="129">
        <v>5000</v>
      </c>
      <c r="J87" s="129">
        <v>5000</v>
      </c>
      <c r="K87" s="129">
        <v>5000</v>
      </c>
      <c r="L87" s="129">
        <v>5000</v>
      </c>
      <c r="M87" s="129">
        <v>5000</v>
      </c>
      <c r="N87" s="129"/>
      <c r="O87" s="129"/>
      <c r="P87" s="129"/>
      <c r="Q87" s="129"/>
      <c r="R87" s="129"/>
      <c r="S87" s="129"/>
      <c r="T87" s="129"/>
      <c r="U87" s="1674"/>
      <c r="W87" s="131"/>
      <c r="X87" s="131"/>
      <c r="Y87" s="131"/>
    </row>
    <row r="88" spans="1:25" s="147" customFormat="1" ht="21.75">
      <c r="A88" s="108"/>
      <c r="B88" s="109"/>
      <c r="C88" s="267"/>
      <c r="D88" s="103"/>
      <c r="E88" s="135" t="s">
        <v>4</v>
      </c>
      <c r="F88" s="137">
        <f>SUM(F86:F87)</f>
        <v>55000</v>
      </c>
      <c r="G88" s="96"/>
      <c r="H88" s="270"/>
      <c r="I88" s="270"/>
      <c r="J88" s="270"/>
      <c r="K88" s="270"/>
      <c r="L88" s="270"/>
      <c r="M88" s="270"/>
      <c r="N88" s="93"/>
      <c r="O88" s="270"/>
      <c r="P88" s="270"/>
      <c r="Q88" s="270"/>
      <c r="R88" s="270"/>
      <c r="S88" s="270"/>
      <c r="T88" s="97"/>
      <c r="U88" s="97"/>
      <c r="W88" s="120"/>
      <c r="X88" s="120"/>
      <c r="Y88" s="120"/>
    </row>
    <row r="89" spans="1:25" ht="39">
      <c r="A89" s="108"/>
      <c r="B89" s="109"/>
      <c r="C89" s="267"/>
      <c r="D89" s="103"/>
      <c r="E89" s="138" t="s">
        <v>359</v>
      </c>
      <c r="F89" s="139">
        <v>400000</v>
      </c>
      <c r="G89" s="96"/>
      <c r="H89" s="270"/>
      <c r="I89" s="140">
        <f t="shared" ref="I89:T89" si="0">SUM(I8:I88)</f>
        <v>63150</v>
      </c>
      <c r="J89" s="140">
        <f t="shared" si="0"/>
        <v>115400</v>
      </c>
      <c r="K89" s="140">
        <f t="shared" si="0"/>
        <v>13380</v>
      </c>
      <c r="L89" s="140">
        <f t="shared" si="0"/>
        <v>5600</v>
      </c>
      <c r="M89" s="140">
        <f t="shared" si="0"/>
        <v>11000</v>
      </c>
      <c r="N89" s="140">
        <f t="shared" si="0"/>
        <v>17200</v>
      </c>
      <c r="O89" s="140">
        <f t="shared" si="0"/>
        <v>5900</v>
      </c>
      <c r="P89" s="140">
        <f t="shared" si="0"/>
        <v>17400</v>
      </c>
      <c r="Q89" s="140">
        <f t="shared" si="0"/>
        <v>600</v>
      </c>
      <c r="R89" s="140">
        <f t="shared" si="0"/>
        <v>600</v>
      </c>
      <c r="S89" s="140">
        <f t="shared" si="0"/>
        <v>293200</v>
      </c>
      <c r="T89" s="141">
        <f t="shared" si="0"/>
        <v>0</v>
      </c>
      <c r="U89" s="141"/>
    </row>
    <row r="91" spans="1:25">
      <c r="F91" s="917"/>
    </row>
  </sheetData>
  <mergeCells count="215"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  <mergeCell ref="P50:P59"/>
    <mergeCell ref="Q50:Q59"/>
    <mergeCell ref="R50:R59"/>
    <mergeCell ref="S50:S59"/>
    <mergeCell ref="Q62:Q66"/>
    <mergeCell ref="R62:R66"/>
    <mergeCell ref="S62:S66"/>
    <mergeCell ref="T50:T59"/>
    <mergeCell ref="I50:I59"/>
    <mergeCell ref="J50:J59"/>
    <mergeCell ref="K50:K59"/>
    <mergeCell ref="L50:L59"/>
    <mergeCell ref="M50:M59"/>
    <mergeCell ref="N50:N59"/>
    <mergeCell ref="T62:T66"/>
    <mergeCell ref="U62:U66"/>
    <mergeCell ref="A68:E68"/>
    <mergeCell ref="K62:K66"/>
    <mergeCell ref="L62:L66"/>
    <mergeCell ref="M62:M66"/>
    <mergeCell ref="N62:N66"/>
    <mergeCell ref="H62:H66"/>
    <mergeCell ref="I62:I66"/>
    <mergeCell ref="J62:J66"/>
    <mergeCell ref="O62:O66"/>
    <mergeCell ref="P62:P66"/>
    <mergeCell ref="J41:J43"/>
    <mergeCell ref="K41:K43"/>
    <mergeCell ref="L41:L43"/>
    <mergeCell ref="A61:E61"/>
    <mergeCell ref="A62:A67"/>
    <mergeCell ref="B62:B67"/>
    <mergeCell ref="C62:C67"/>
    <mergeCell ref="D62:D67"/>
    <mergeCell ref="G62:G66"/>
    <mergeCell ref="C50:C60"/>
    <mergeCell ref="D50:D60"/>
    <mergeCell ref="G50:G59"/>
    <mergeCell ref="H50:H59"/>
    <mergeCell ref="A50:A60"/>
    <mergeCell ref="B50:B60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T26:T31"/>
    <mergeCell ref="U26:U31"/>
    <mergeCell ref="A34:E34"/>
    <mergeCell ref="K26:K31"/>
    <mergeCell ref="L26:L31"/>
    <mergeCell ref="M26:M31"/>
    <mergeCell ref="N26:N31"/>
    <mergeCell ref="R21:R24"/>
    <mergeCell ref="S21:S24"/>
    <mergeCell ref="T21:T24"/>
    <mergeCell ref="I21:I24"/>
    <mergeCell ref="J21:J24"/>
    <mergeCell ref="K21:K24"/>
    <mergeCell ref="L21:L24"/>
    <mergeCell ref="M21:M24"/>
    <mergeCell ref="N21:N24"/>
    <mergeCell ref="A25:E25"/>
    <mergeCell ref="A26:A32"/>
    <mergeCell ref="B26:B32"/>
    <mergeCell ref="C26:C32"/>
    <mergeCell ref="D26:D32"/>
    <mergeCell ref="G26:G31"/>
    <mergeCell ref="C21:C24"/>
    <mergeCell ref="D21:D24"/>
    <mergeCell ref="G21:G24"/>
    <mergeCell ref="A21:A24"/>
    <mergeCell ref="B21:B24"/>
    <mergeCell ref="H26:H31"/>
    <mergeCell ref="I26:I31"/>
    <mergeCell ref="J26:J31"/>
    <mergeCell ref="S16:S18"/>
    <mergeCell ref="H16:H18"/>
    <mergeCell ref="I16:I18"/>
    <mergeCell ref="J16:J18"/>
    <mergeCell ref="K16:K18"/>
    <mergeCell ref="L16:L18"/>
    <mergeCell ref="M16:M18"/>
    <mergeCell ref="H21:H24"/>
    <mergeCell ref="Q26:Q31"/>
    <mergeCell ref="R26:R31"/>
    <mergeCell ref="O26:O31"/>
    <mergeCell ref="P26:P31"/>
    <mergeCell ref="P21:P24"/>
    <mergeCell ref="Q21:Q24"/>
    <mergeCell ref="S26:S31"/>
    <mergeCell ref="A19:A20"/>
    <mergeCell ref="B19:B20"/>
    <mergeCell ref="C19:C20"/>
    <mergeCell ref="D19:D20"/>
    <mergeCell ref="N16:N18"/>
    <mergeCell ref="O16:O18"/>
    <mergeCell ref="P16:P18"/>
    <mergeCell ref="Q16:Q18"/>
    <mergeCell ref="R16:R18"/>
    <mergeCell ref="A16:A18"/>
    <mergeCell ref="B16:B18"/>
    <mergeCell ref="C16:C18"/>
    <mergeCell ref="D16:D18"/>
    <mergeCell ref="G16:G18"/>
    <mergeCell ref="K12:K15"/>
    <mergeCell ref="H12:H15"/>
    <mergeCell ref="I12:I15"/>
    <mergeCell ref="J12:J15"/>
    <mergeCell ref="Q12:Q15"/>
    <mergeCell ref="R12:R15"/>
    <mergeCell ref="U21:U24"/>
    <mergeCell ref="O21:O24"/>
    <mergeCell ref="S12:S15"/>
    <mergeCell ref="T12:T15"/>
    <mergeCell ref="U12:U15"/>
    <mergeCell ref="O12:O15"/>
    <mergeCell ref="P12:P15"/>
    <mergeCell ref="T16:T18"/>
    <mergeCell ref="U16:U18"/>
    <mergeCell ref="A12:A15"/>
    <mergeCell ref="B12:B15"/>
    <mergeCell ref="C12:C15"/>
    <mergeCell ref="D12:D15"/>
    <mergeCell ref="G12:G15"/>
    <mergeCell ref="L5:L6"/>
    <mergeCell ref="M5:M6"/>
    <mergeCell ref="O8:O10"/>
    <mergeCell ref="P8:P10"/>
    <mergeCell ref="L12:L15"/>
    <mergeCell ref="M12:M15"/>
    <mergeCell ref="N12:N15"/>
    <mergeCell ref="O5:O6"/>
    <mergeCell ref="P5:P6"/>
    <mergeCell ref="N5:N6"/>
    <mergeCell ref="H8:H10"/>
    <mergeCell ref="I8:I10"/>
    <mergeCell ref="J8:J10"/>
    <mergeCell ref="K8:K10"/>
    <mergeCell ref="L8:L10"/>
    <mergeCell ref="M8:M10"/>
    <mergeCell ref="N8:N10"/>
    <mergeCell ref="A7:D7"/>
    <mergeCell ref="A8:A11"/>
    <mergeCell ref="B8:B11"/>
    <mergeCell ref="C8:C11"/>
    <mergeCell ref="D8:D11"/>
    <mergeCell ref="G8:G10"/>
    <mergeCell ref="Q5:Q6"/>
    <mergeCell ref="T8:T10"/>
    <mergeCell ref="U8:U10"/>
    <mergeCell ref="Q8:Q10"/>
    <mergeCell ref="R8:R10"/>
    <mergeCell ref="S8:S10"/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zoomScaleSheetLayoutView="70" workbookViewId="0">
      <selection activeCell="H2" sqref="H1:U65536"/>
    </sheetView>
  </sheetViews>
  <sheetFormatPr defaultColWidth="9" defaultRowHeight="17.25"/>
  <cols>
    <col min="1" max="5" width="22.75" style="148" customWidth="1"/>
    <col min="6" max="6" width="12.125" style="148" bestFit="1" customWidth="1"/>
    <col min="7" max="7" width="5.125" style="148" customWidth="1"/>
    <col min="8" max="8" width="9.75" style="148" customWidth="1"/>
    <col min="9" max="20" width="4" style="148" customWidth="1"/>
    <col min="21" max="21" width="5.75" style="148" customWidth="1"/>
    <col min="22" max="16384" width="9" style="148"/>
  </cols>
  <sheetData>
    <row r="1" spans="1:21" ht="24">
      <c r="A1" s="1686" t="s">
        <v>565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  <c r="S1" s="1686"/>
      <c r="T1" s="1686"/>
      <c r="U1" s="1686"/>
    </row>
    <row r="2" spans="1:21" ht="24">
      <c r="A2" s="78" t="s">
        <v>566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</row>
    <row r="3" spans="1:21" ht="21.75">
      <c r="A3" s="1687" t="s">
        <v>44</v>
      </c>
      <c r="B3" s="1690" t="s">
        <v>45</v>
      </c>
      <c r="C3" s="1690" t="s">
        <v>46</v>
      </c>
      <c r="D3" s="1690" t="s">
        <v>47</v>
      </c>
      <c r="E3" s="1690" t="s">
        <v>48</v>
      </c>
      <c r="F3" s="1690"/>
      <c r="G3" s="1690"/>
      <c r="H3" s="1690" t="s">
        <v>49</v>
      </c>
      <c r="I3" s="1690" t="s">
        <v>50</v>
      </c>
      <c r="J3" s="1690"/>
      <c r="K3" s="1690"/>
      <c r="L3" s="1690"/>
      <c r="M3" s="1690"/>
      <c r="N3" s="1690"/>
      <c r="O3" s="1690"/>
      <c r="P3" s="1690"/>
      <c r="Q3" s="1690"/>
      <c r="R3" s="1690"/>
      <c r="S3" s="1690"/>
      <c r="T3" s="1690"/>
      <c r="U3" s="1687" t="s">
        <v>153</v>
      </c>
    </row>
    <row r="4" spans="1:21">
      <c r="A4" s="1688"/>
      <c r="B4" s="1690"/>
      <c r="C4" s="1690"/>
      <c r="D4" s="1690"/>
      <c r="E4" s="1687" t="s">
        <v>52</v>
      </c>
      <c r="F4" s="1687" t="s">
        <v>53</v>
      </c>
      <c r="G4" s="1690" t="s">
        <v>54</v>
      </c>
      <c r="H4" s="1690"/>
      <c r="I4" s="1690" t="s">
        <v>55</v>
      </c>
      <c r="J4" s="1690" t="s">
        <v>56</v>
      </c>
      <c r="K4" s="1690" t="s">
        <v>57</v>
      </c>
      <c r="L4" s="1690" t="s">
        <v>58</v>
      </c>
      <c r="M4" s="1690" t="s">
        <v>59</v>
      </c>
      <c r="N4" s="1690" t="s">
        <v>60</v>
      </c>
      <c r="O4" s="1690" t="s">
        <v>61</v>
      </c>
      <c r="P4" s="1690" t="s">
        <v>62</v>
      </c>
      <c r="Q4" s="1690" t="s">
        <v>63</v>
      </c>
      <c r="R4" s="1690" t="s">
        <v>64</v>
      </c>
      <c r="S4" s="1690" t="s">
        <v>65</v>
      </c>
      <c r="T4" s="1690" t="s">
        <v>66</v>
      </c>
      <c r="U4" s="1688"/>
    </row>
    <row r="5" spans="1:21">
      <c r="A5" s="1689"/>
      <c r="B5" s="1690"/>
      <c r="C5" s="1690"/>
      <c r="D5" s="1690"/>
      <c r="E5" s="1689"/>
      <c r="F5" s="1689"/>
      <c r="G5" s="1690"/>
      <c r="H5" s="1690"/>
      <c r="I5" s="1690"/>
      <c r="J5" s="1690"/>
      <c r="K5" s="1690"/>
      <c r="L5" s="1690"/>
      <c r="M5" s="1690"/>
      <c r="N5" s="1690"/>
      <c r="O5" s="1690"/>
      <c r="P5" s="1690"/>
      <c r="Q5" s="1690"/>
      <c r="R5" s="1690"/>
      <c r="S5" s="1690"/>
      <c r="T5" s="1690"/>
      <c r="U5" s="1689"/>
    </row>
    <row r="6" spans="1:21" ht="222.75">
      <c r="A6" s="1650" t="s">
        <v>567</v>
      </c>
      <c r="B6" s="1653"/>
      <c r="C6" s="1691"/>
      <c r="D6" s="1650" t="s">
        <v>568</v>
      </c>
      <c r="E6" s="259" t="s">
        <v>1445</v>
      </c>
      <c r="F6" s="414" t="s">
        <v>569</v>
      </c>
      <c r="G6" s="415" t="s">
        <v>570</v>
      </c>
      <c r="H6" s="416"/>
      <c r="I6" s="417"/>
      <c r="J6" s="418">
        <v>1600</v>
      </c>
      <c r="K6" s="417"/>
      <c r="L6" s="417"/>
      <c r="M6" s="418">
        <v>1600</v>
      </c>
      <c r="N6" s="417"/>
      <c r="O6" s="417"/>
      <c r="P6" s="418">
        <v>1600</v>
      </c>
      <c r="Q6" s="417"/>
      <c r="R6" s="417"/>
      <c r="S6" s="418">
        <v>1600</v>
      </c>
      <c r="T6" s="417"/>
      <c r="U6" s="157" t="s">
        <v>571</v>
      </c>
    </row>
    <row r="7" spans="1:21" ht="21.75">
      <c r="A7" s="1652"/>
      <c r="B7" s="1653"/>
      <c r="C7" s="1692"/>
      <c r="D7" s="1652"/>
      <c r="E7" s="419" t="s">
        <v>4</v>
      </c>
      <c r="F7" s="420">
        <v>6400</v>
      </c>
      <c r="G7" s="421"/>
      <c r="H7" s="421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1"/>
    </row>
    <row r="8" spans="1:21" ht="43.5">
      <c r="A8" s="1693" t="s">
        <v>572</v>
      </c>
      <c r="B8" s="1650"/>
      <c r="C8" s="1650" t="s">
        <v>573</v>
      </c>
      <c r="D8" s="1653" t="s">
        <v>574</v>
      </c>
      <c r="E8" s="297" t="s">
        <v>575</v>
      </c>
      <c r="F8" s="298">
        <v>2560</v>
      </c>
      <c r="G8" s="1696" t="s">
        <v>570</v>
      </c>
      <c r="H8" s="1657"/>
      <c r="I8" s="1617"/>
      <c r="J8" s="1617"/>
      <c r="K8" s="1617"/>
      <c r="L8" s="1617">
        <v>8840</v>
      </c>
      <c r="M8" s="1617"/>
      <c r="N8" s="1617"/>
      <c r="O8" s="1617"/>
      <c r="P8" s="1617"/>
      <c r="Q8" s="1617"/>
      <c r="R8" s="1617"/>
      <c r="S8" s="1617"/>
      <c r="T8" s="1617"/>
      <c r="U8" s="1657" t="s">
        <v>571</v>
      </c>
    </row>
    <row r="9" spans="1:21" ht="43.5">
      <c r="A9" s="1694"/>
      <c r="B9" s="1651"/>
      <c r="C9" s="1651"/>
      <c r="D9" s="1653"/>
      <c r="E9" s="297" t="s">
        <v>576</v>
      </c>
      <c r="F9" s="298">
        <v>1280</v>
      </c>
      <c r="G9" s="1697"/>
      <c r="H9" s="1658"/>
      <c r="I9" s="1618"/>
      <c r="J9" s="1618"/>
      <c r="K9" s="1618"/>
      <c r="L9" s="1618"/>
      <c r="M9" s="1618"/>
      <c r="N9" s="1618"/>
      <c r="O9" s="1618"/>
      <c r="P9" s="1618"/>
      <c r="Q9" s="1618"/>
      <c r="R9" s="1618"/>
      <c r="S9" s="1618"/>
      <c r="T9" s="1618"/>
      <c r="U9" s="1658"/>
    </row>
    <row r="10" spans="1:21" ht="21.75">
      <c r="A10" s="1694"/>
      <c r="B10" s="1651"/>
      <c r="C10" s="1651"/>
      <c r="D10" s="1653"/>
      <c r="E10" s="297" t="s">
        <v>577</v>
      </c>
      <c r="F10" s="298">
        <v>2000</v>
      </c>
      <c r="G10" s="1697"/>
      <c r="H10" s="165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8"/>
      <c r="S10" s="1618"/>
      <c r="T10" s="1618"/>
      <c r="U10" s="1658"/>
    </row>
    <row r="11" spans="1:21" ht="21.75">
      <c r="A11" s="1694"/>
      <c r="B11" s="1651"/>
      <c r="C11" s="1651"/>
      <c r="D11" s="1653"/>
      <c r="E11" s="259" t="s">
        <v>209</v>
      </c>
      <c r="F11" s="298">
        <v>3000</v>
      </c>
      <c r="G11" s="1698"/>
      <c r="H11" s="1658"/>
      <c r="I11" s="1618"/>
      <c r="J11" s="1618"/>
      <c r="K11" s="1618"/>
      <c r="L11" s="1618"/>
      <c r="M11" s="1618"/>
      <c r="N11" s="1618"/>
      <c r="O11" s="1618"/>
      <c r="P11" s="1618"/>
      <c r="Q11" s="1618"/>
      <c r="R11" s="1618"/>
      <c r="S11" s="1618"/>
      <c r="T11" s="1618"/>
      <c r="U11" s="1658"/>
    </row>
    <row r="12" spans="1:21" ht="21.75">
      <c r="A12" s="1695"/>
      <c r="B12" s="1652"/>
      <c r="C12" s="1652"/>
      <c r="D12" s="1653"/>
      <c r="E12" s="419" t="s">
        <v>4</v>
      </c>
      <c r="F12" s="420">
        <f>SUM(F8:F11)</f>
        <v>8840</v>
      </c>
      <c r="G12" s="421"/>
      <c r="H12" s="421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1"/>
    </row>
    <row r="13" spans="1:21" ht="43.5">
      <c r="A13" s="1693" t="s">
        <v>578</v>
      </c>
      <c r="B13" s="1650"/>
      <c r="C13" s="1650" t="s">
        <v>579</v>
      </c>
      <c r="D13" s="1653" t="s">
        <v>580</v>
      </c>
      <c r="E13" s="297" t="s">
        <v>581</v>
      </c>
      <c r="F13" s="298">
        <v>2800</v>
      </c>
      <c r="G13" s="1696" t="s">
        <v>570</v>
      </c>
      <c r="H13" s="1657"/>
      <c r="I13" s="1617"/>
      <c r="J13" s="1617"/>
      <c r="K13" s="1617"/>
      <c r="L13" s="1617"/>
      <c r="M13" s="1617"/>
      <c r="N13" s="1617"/>
      <c r="O13" s="1617"/>
      <c r="P13" s="1617"/>
      <c r="Q13" s="1617">
        <v>9200</v>
      </c>
      <c r="R13" s="1617"/>
      <c r="S13" s="1617"/>
      <c r="T13" s="1617"/>
      <c r="U13" s="1657" t="s">
        <v>571</v>
      </c>
    </row>
    <row r="14" spans="1:21" ht="43.5">
      <c r="A14" s="1694"/>
      <c r="B14" s="1651"/>
      <c r="C14" s="1651"/>
      <c r="D14" s="1653"/>
      <c r="E14" s="297" t="s">
        <v>582</v>
      </c>
      <c r="F14" s="298">
        <v>1400</v>
      </c>
      <c r="G14" s="1697"/>
      <c r="H14" s="1658"/>
      <c r="I14" s="1618"/>
      <c r="J14" s="1618"/>
      <c r="K14" s="1618"/>
      <c r="L14" s="1618"/>
      <c r="M14" s="1618"/>
      <c r="N14" s="1618"/>
      <c r="O14" s="1618"/>
      <c r="P14" s="1618"/>
      <c r="Q14" s="1618"/>
      <c r="R14" s="1618"/>
      <c r="S14" s="1618"/>
      <c r="T14" s="1618"/>
      <c r="U14" s="1658"/>
    </row>
    <row r="15" spans="1:21" ht="21.75">
      <c r="A15" s="1694"/>
      <c r="B15" s="1651"/>
      <c r="C15" s="1651"/>
      <c r="D15" s="1653"/>
      <c r="E15" s="297" t="s">
        <v>577</v>
      </c>
      <c r="F15" s="298">
        <v>2000</v>
      </c>
      <c r="G15" s="1697"/>
      <c r="H15" s="165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58"/>
    </row>
    <row r="16" spans="1:21" ht="21.75">
      <c r="A16" s="1694"/>
      <c r="B16" s="1651"/>
      <c r="C16" s="1651"/>
      <c r="D16" s="1653"/>
      <c r="E16" s="259" t="s">
        <v>209</v>
      </c>
      <c r="F16" s="298">
        <v>3000</v>
      </c>
      <c r="G16" s="1698"/>
      <c r="H16" s="165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58"/>
    </row>
    <row r="17" spans="1:21" ht="21.75">
      <c r="A17" s="1695"/>
      <c r="B17" s="1652"/>
      <c r="C17" s="1652"/>
      <c r="D17" s="1653"/>
      <c r="E17" s="419" t="s">
        <v>4</v>
      </c>
      <c r="F17" s="420">
        <f>SUM(F13:F16)</f>
        <v>9200</v>
      </c>
      <c r="G17" s="421"/>
      <c r="H17" s="421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1"/>
    </row>
    <row r="18" spans="1:21" ht="48.75">
      <c r="A18" s="142"/>
      <c r="B18" s="142"/>
      <c r="C18" s="142"/>
      <c r="D18" s="142"/>
      <c r="E18" s="423" t="s">
        <v>139</v>
      </c>
      <c r="F18" s="424">
        <f>F7+F12+F17</f>
        <v>24440</v>
      </c>
      <c r="G18" s="425"/>
      <c r="H18" s="425"/>
      <c r="I18" s="422">
        <f t="shared" ref="I18:T18" si="0">SUM(I6:I17)</f>
        <v>0</v>
      </c>
      <c r="J18" s="422">
        <f t="shared" si="0"/>
        <v>1600</v>
      </c>
      <c r="K18" s="422">
        <f t="shared" si="0"/>
        <v>0</v>
      </c>
      <c r="L18" s="422">
        <f t="shared" si="0"/>
        <v>8840</v>
      </c>
      <c r="M18" s="422">
        <f t="shared" si="0"/>
        <v>1600</v>
      </c>
      <c r="N18" s="422">
        <f t="shared" si="0"/>
        <v>0</v>
      </c>
      <c r="O18" s="422">
        <f t="shared" si="0"/>
        <v>0</v>
      </c>
      <c r="P18" s="422">
        <f t="shared" si="0"/>
        <v>1600</v>
      </c>
      <c r="Q18" s="422">
        <f t="shared" si="0"/>
        <v>9200</v>
      </c>
      <c r="R18" s="422">
        <f t="shared" si="0"/>
        <v>0</v>
      </c>
      <c r="S18" s="422">
        <f t="shared" si="0"/>
        <v>1600</v>
      </c>
      <c r="T18" s="422">
        <f t="shared" si="0"/>
        <v>0</v>
      </c>
      <c r="U18" s="426"/>
    </row>
    <row r="19" spans="1:21" ht="21.75">
      <c r="A19" s="1699" t="s">
        <v>583</v>
      </c>
      <c r="B19" s="1699"/>
      <c r="C19" s="1699"/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</row>
    <row r="20" spans="1:21" ht="43.5">
      <c r="A20" s="1700" t="s">
        <v>584</v>
      </c>
      <c r="B20" s="1653" t="s">
        <v>585</v>
      </c>
      <c r="C20" s="1700" t="s">
        <v>586</v>
      </c>
      <c r="D20" s="1653" t="s">
        <v>587</v>
      </c>
      <c r="E20" s="299" t="s">
        <v>588</v>
      </c>
      <c r="F20" s="300">
        <v>3200</v>
      </c>
      <c r="G20" s="1654" t="s">
        <v>589</v>
      </c>
      <c r="H20" s="1701">
        <v>241813</v>
      </c>
      <c r="I20" s="1617"/>
      <c r="J20" s="1617"/>
      <c r="K20" s="1617"/>
      <c r="L20" s="1617">
        <v>17800</v>
      </c>
      <c r="M20" s="1617"/>
      <c r="N20" s="1617"/>
      <c r="O20" s="1617"/>
      <c r="P20" s="1617"/>
      <c r="Q20" s="1617"/>
      <c r="R20" s="1617"/>
      <c r="S20" s="1617"/>
      <c r="T20" s="1617"/>
      <c r="U20" s="1614" t="s">
        <v>590</v>
      </c>
    </row>
    <row r="21" spans="1:21" ht="43.5">
      <c r="A21" s="1691"/>
      <c r="B21" s="1653"/>
      <c r="C21" s="1691"/>
      <c r="D21" s="1653"/>
      <c r="E21" s="123" t="s">
        <v>591</v>
      </c>
      <c r="F21" s="300">
        <v>1600</v>
      </c>
      <c r="G21" s="1655"/>
      <c r="H21" s="1658"/>
      <c r="I21" s="1618"/>
      <c r="J21" s="1618"/>
      <c r="K21" s="1618"/>
      <c r="L21" s="1618"/>
      <c r="M21" s="1618"/>
      <c r="N21" s="1618"/>
      <c r="O21" s="1618"/>
      <c r="P21" s="1618"/>
      <c r="Q21" s="1618"/>
      <c r="R21" s="1618"/>
      <c r="S21" s="1618"/>
      <c r="T21" s="1618"/>
      <c r="U21" s="1615"/>
    </row>
    <row r="22" spans="1:21" ht="21.75">
      <c r="A22" s="1691"/>
      <c r="B22" s="1653"/>
      <c r="C22" s="1691"/>
      <c r="D22" s="1653"/>
      <c r="E22" s="123" t="s">
        <v>162</v>
      </c>
      <c r="F22" s="300">
        <v>2000</v>
      </c>
      <c r="G22" s="1655"/>
      <c r="H22" s="1658"/>
      <c r="I22" s="1618"/>
      <c r="J22" s="1618"/>
      <c r="K22" s="1618"/>
      <c r="L22" s="1618"/>
      <c r="M22" s="1618"/>
      <c r="N22" s="1618"/>
      <c r="O22" s="1618"/>
      <c r="P22" s="1618"/>
      <c r="Q22" s="1618"/>
      <c r="R22" s="1618"/>
      <c r="S22" s="1618"/>
      <c r="T22" s="1618"/>
      <c r="U22" s="1615"/>
    </row>
    <row r="23" spans="1:21" ht="43.5">
      <c r="A23" s="1691"/>
      <c r="B23" s="1653"/>
      <c r="C23" s="1691"/>
      <c r="D23" s="1653"/>
      <c r="E23" s="246" t="s">
        <v>577</v>
      </c>
      <c r="F23" s="300">
        <v>2000</v>
      </c>
      <c r="G23" s="261"/>
      <c r="H23" s="26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65" t="s">
        <v>592</v>
      </c>
    </row>
    <row r="24" spans="1:21" ht="21.75">
      <c r="A24" s="1691"/>
      <c r="B24" s="1653"/>
      <c r="C24" s="1691"/>
      <c r="D24" s="1653"/>
      <c r="E24" s="246" t="s">
        <v>593</v>
      </c>
      <c r="F24" s="300">
        <v>3600</v>
      </c>
      <c r="G24" s="261"/>
      <c r="H24" s="26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65"/>
    </row>
    <row r="25" spans="1:21" ht="21.75">
      <c r="A25" s="1691"/>
      <c r="B25" s="1653"/>
      <c r="C25" s="1691"/>
      <c r="D25" s="1653"/>
      <c r="E25" s="246" t="s">
        <v>594</v>
      </c>
      <c r="F25" s="300">
        <v>4000</v>
      </c>
      <c r="G25" s="261"/>
      <c r="H25" s="26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65"/>
    </row>
    <row r="26" spans="1:21" ht="21.75">
      <c r="A26" s="1691"/>
      <c r="B26" s="1653"/>
      <c r="C26" s="1691"/>
      <c r="D26" s="1653"/>
      <c r="E26" s="246" t="s">
        <v>595</v>
      </c>
      <c r="F26" s="300">
        <v>2000</v>
      </c>
      <c r="G26" s="262"/>
      <c r="H26" s="264"/>
      <c r="I26" s="254"/>
      <c r="J26" s="254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265"/>
    </row>
    <row r="27" spans="1:21" ht="21.75">
      <c r="A27" s="1692"/>
      <c r="B27" s="1653"/>
      <c r="C27" s="1692"/>
      <c r="D27" s="1653"/>
      <c r="E27" s="115" t="s">
        <v>4</v>
      </c>
      <c r="F27" s="428">
        <f>SUM(F20:F26)</f>
        <v>18400</v>
      </c>
      <c r="G27" s="421"/>
      <c r="H27" s="421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13"/>
    </row>
    <row r="28" spans="1:21" ht="53.25">
      <c r="A28" s="147"/>
      <c r="B28" s="147"/>
      <c r="C28" s="147"/>
      <c r="D28" s="147"/>
      <c r="E28" s="429" t="s">
        <v>139</v>
      </c>
      <c r="F28" s="116">
        <f>F27</f>
        <v>18400</v>
      </c>
      <c r="G28" s="425"/>
      <c r="H28" s="425"/>
      <c r="I28" s="422"/>
      <c r="J28" s="422"/>
      <c r="K28" s="422"/>
      <c r="L28" s="422">
        <f>SUM(L20:L27)</f>
        <v>17800</v>
      </c>
      <c r="M28" s="422"/>
      <c r="N28" s="422"/>
      <c r="O28" s="422"/>
      <c r="P28" s="422"/>
      <c r="Q28" s="422"/>
      <c r="R28" s="422"/>
      <c r="S28" s="422"/>
      <c r="T28" s="422"/>
      <c r="U28" s="146"/>
    </row>
    <row r="29" spans="1:21" ht="21.75">
      <c r="A29" s="143" t="s">
        <v>596</v>
      </c>
      <c r="B29" s="147"/>
      <c r="C29" s="147"/>
      <c r="D29" s="147"/>
      <c r="E29" s="147"/>
      <c r="F29" s="43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43.5">
      <c r="A30" s="1580" t="s">
        <v>597</v>
      </c>
      <c r="B30" s="1580" t="s">
        <v>598</v>
      </c>
      <c r="C30" s="1611"/>
      <c r="D30" s="1611"/>
      <c r="E30" s="269" t="s">
        <v>599</v>
      </c>
      <c r="F30" s="124">
        <f>20*80*1</f>
        <v>1600</v>
      </c>
      <c r="G30" s="1702" t="s">
        <v>589</v>
      </c>
      <c r="H30" s="1705">
        <v>22647</v>
      </c>
      <c r="I30" s="1706"/>
      <c r="J30" s="1706"/>
      <c r="K30" s="1706"/>
      <c r="L30" s="1706">
        <v>3800</v>
      </c>
      <c r="M30" s="1706"/>
      <c r="N30" s="1706"/>
      <c r="O30" s="1706"/>
      <c r="P30" s="1706"/>
      <c r="Q30" s="1706"/>
      <c r="R30" s="1706"/>
      <c r="S30" s="1706"/>
      <c r="T30" s="1706"/>
      <c r="U30" s="1702" t="s">
        <v>600</v>
      </c>
    </row>
    <row r="31" spans="1:21" ht="43.5">
      <c r="A31" s="1581"/>
      <c r="B31" s="1581"/>
      <c r="C31" s="1612"/>
      <c r="D31" s="1612"/>
      <c r="E31" s="257" t="s">
        <v>601</v>
      </c>
      <c r="F31" s="431">
        <f>20*20*2</f>
        <v>800</v>
      </c>
      <c r="G31" s="1703"/>
      <c r="H31" s="1703"/>
      <c r="I31" s="1707"/>
      <c r="J31" s="1707"/>
      <c r="K31" s="1707"/>
      <c r="L31" s="1707"/>
      <c r="M31" s="1707"/>
      <c r="N31" s="1707"/>
      <c r="O31" s="1707"/>
      <c r="P31" s="1707"/>
      <c r="Q31" s="1707"/>
      <c r="R31" s="1707"/>
      <c r="S31" s="1707"/>
      <c r="T31" s="1707"/>
      <c r="U31" s="1703"/>
    </row>
    <row r="32" spans="1:21" ht="21.75">
      <c r="A32" s="1581"/>
      <c r="B32" s="1581"/>
      <c r="C32" s="1612"/>
      <c r="D32" s="1612"/>
      <c r="E32" s="257" t="s">
        <v>602</v>
      </c>
      <c r="F32" s="431">
        <f>20*70</f>
        <v>1400</v>
      </c>
      <c r="G32" s="1703"/>
      <c r="H32" s="1703"/>
      <c r="I32" s="1707"/>
      <c r="J32" s="1707"/>
      <c r="K32" s="1707"/>
      <c r="L32" s="1707"/>
      <c r="M32" s="1707"/>
      <c r="N32" s="1707"/>
      <c r="O32" s="1707"/>
      <c r="P32" s="1707"/>
      <c r="Q32" s="1707"/>
      <c r="R32" s="1707"/>
      <c r="S32" s="1707"/>
      <c r="T32" s="1707"/>
      <c r="U32" s="1703"/>
    </row>
    <row r="33" spans="1:21" ht="21.75">
      <c r="A33" s="1582"/>
      <c r="B33" s="1582"/>
      <c r="C33" s="1613"/>
      <c r="D33" s="1613"/>
      <c r="E33" s="432" t="s">
        <v>4</v>
      </c>
      <c r="F33" s="433">
        <f>SUM(F30:F32)</f>
        <v>3800</v>
      </c>
      <c r="G33" s="1704"/>
      <c r="H33" s="1704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4"/>
    </row>
    <row r="34" spans="1:21" ht="43.5">
      <c r="A34" s="1580" t="s">
        <v>603</v>
      </c>
      <c r="B34" s="1580" t="s">
        <v>604</v>
      </c>
      <c r="C34" s="1611"/>
      <c r="D34" s="1611"/>
      <c r="E34" s="257" t="s">
        <v>605</v>
      </c>
      <c r="F34" s="431">
        <f>25*80*2</f>
        <v>4000</v>
      </c>
      <c r="G34" s="1702" t="s">
        <v>589</v>
      </c>
      <c r="H34" s="1705">
        <v>22678</v>
      </c>
      <c r="I34" s="1706"/>
      <c r="J34" s="1706"/>
      <c r="K34" s="1706"/>
      <c r="L34" s="1706"/>
      <c r="M34" s="1706">
        <v>7750</v>
      </c>
      <c r="N34" s="1706"/>
      <c r="O34" s="1706"/>
      <c r="P34" s="1706"/>
      <c r="Q34" s="1706"/>
      <c r="R34" s="1706"/>
      <c r="S34" s="1706"/>
      <c r="T34" s="1706"/>
      <c r="U34" s="1702" t="s">
        <v>600</v>
      </c>
    </row>
    <row r="35" spans="1:21" ht="43.5">
      <c r="A35" s="1581"/>
      <c r="B35" s="1581"/>
      <c r="C35" s="1612"/>
      <c r="D35" s="1612"/>
      <c r="E35" s="257" t="s">
        <v>606</v>
      </c>
      <c r="F35" s="431">
        <f>25*20*4</f>
        <v>2000</v>
      </c>
      <c r="G35" s="1703"/>
      <c r="H35" s="1703"/>
      <c r="I35" s="1707"/>
      <c r="J35" s="1707"/>
      <c r="K35" s="1707"/>
      <c r="L35" s="1707"/>
      <c r="M35" s="1707"/>
      <c r="N35" s="1707"/>
      <c r="O35" s="1707"/>
      <c r="P35" s="1707"/>
      <c r="Q35" s="1707"/>
      <c r="R35" s="1707"/>
      <c r="S35" s="1707"/>
      <c r="T35" s="1707"/>
      <c r="U35" s="1703"/>
    </row>
    <row r="36" spans="1:21" ht="21.75">
      <c r="A36" s="1581"/>
      <c r="B36" s="1581"/>
      <c r="C36" s="1612"/>
      <c r="D36" s="1612"/>
      <c r="E36" s="257" t="s">
        <v>602</v>
      </c>
      <c r="F36" s="431">
        <f>25*70</f>
        <v>1750</v>
      </c>
      <c r="G36" s="1703"/>
      <c r="H36" s="1703"/>
      <c r="I36" s="1707"/>
      <c r="J36" s="1707"/>
      <c r="K36" s="1707"/>
      <c r="L36" s="1707"/>
      <c r="M36" s="1707"/>
      <c r="N36" s="1707"/>
      <c r="O36" s="1707"/>
      <c r="P36" s="1707"/>
      <c r="Q36" s="1707"/>
      <c r="R36" s="1707"/>
      <c r="S36" s="1707"/>
      <c r="T36" s="1707"/>
      <c r="U36" s="1703"/>
    </row>
    <row r="37" spans="1:21" ht="21.75">
      <c r="A37" s="1582"/>
      <c r="B37" s="1582"/>
      <c r="C37" s="1613"/>
      <c r="D37" s="1613"/>
      <c r="E37" s="432" t="s">
        <v>4</v>
      </c>
      <c r="F37" s="433">
        <f>SUM(F34:F36)</f>
        <v>7750</v>
      </c>
      <c r="G37" s="1704"/>
      <c r="H37" s="1704"/>
      <c r="I37" s="1708"/>
      <c r="J37" s="1708"/>
      <c r="K37" s="1708"/>
      <c r="L37" s="1708"/>
      <c r="M37" s="1708"/>
      <c r="N37" s="1708"/>
      <c r="O37" s="1708"/>
      <c r="P37" s="1708"/>
      <c r="Q37" s="1708"/>
      <c r="R37" s="1708"/>
      <c r="S37" s="1708"/>
      <c r="T37" s="1708"/>
      <c r="U37" s="1704"/>
    </row>
    <row r="38" spans="1:21" ht="21.75">
      <c r="A38" s="1709" t="s">
        <v>607</v>
      </c>
      <c r="B38" s="1710"/>
      <c r="C38" s="1710"/>
      <c r="D38" s="1711"/>
      <c r="E38" s="434"/>
      <c r="F38" s="435">
        <f>F33+F37</f>
        <v>11550</v>
      </c>
      <c r="G38" s="8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21.75">
      <c r="A39" s="149" t="s">
        <v>608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21" ht="21.75">
      <c r="A40" s="436" t="s">
        <v>609</v>
      </c>
      <c r="B40" s="437"/>
      <c r="C40" s="438"/>
      <c r="D40" s="437"/>
      <c r="E40" s="437"/>
      <c r="F40" s="439"/>
      <c r="G40" s="439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</row>
    <row r="41" spans="1:21" ht="65.25">
      <c r="A41" s="1700" t="s">
        <v>610</v>
      </c>
      <c r="B41" s="1653"/>
      <c r="C41" s="1700" t="s">
        <v>611</v>
      </c>
      <c r="D41" s="1653" t="s">
        <v>612</v>
      </c>
      <c r="E41" s="440" t="s">
        <v>613</v>
      </c>
      <c r="F41" s="441">
        <f>20*4*20</f>
        <v>1600</v>
      </c>
      <c r="G41" s="1654" t="s">
        <v>77</v>
      </c>
      <c r="H41" s="1657" t="s">
        <v>614</v>
      </c>
      <c r="I41" s="1617"/>
      <c r="J41" s="1617"/>
      <c r="K41" s="1617"/>
      <c r="L41" s="1617"/>
      <c r="M41" s="1617"/>
      <c r="N41" s="1617">
        <v>4900</v>
      </c>
      <c r="O41" s="1617"/>
      <c r="P41" s="1617"/>
      <c r="Q41" s="1617"/>
      <c r="R41" s="1617"/>
      <c r="S41" s="1617"/>
      <c r="T41" s="1617">
        <v>4900</v>
      </c>
      <c r="U41" s="1657" t="s">
        <v>615</v>
      </c>
    </row>
    <row r="42" spans="1:21" ht="65.25">
      <c r="A42" s="1691"/>
      <c r="B42" s="1653"/>
      <c r="C42" s="1691"/>
      <c r="D42" s="1653"/>
      <c r="E42" s="440" t="s">
        <v>616</v>
      </c>
      <c r="F42" s="441">
        <f>20*2*80</f>
        <v>3200</v>
      </c>
      <c r="G42" s="1655"/>
      <c r="H42" s="1658"/>
      <c r="I42" s="1618"/>
      <c r="J42" s="1618"/>
      <c r="K42" s="1618"/>
      <c r="L42" s="1618"/>
      <c r="M42" s="1618"/>
      <c r="N42" s="1618"/>
      <c r="O42" s="1618"/>
      <c r="P42" s="1618"/>
      <c r="Q42" s="1618"/>
      <c r="R42" s="1618"/>
      <c r="S42" s="1618"/>
      <c r="T42" s="1618"/>
      <c r="U42" s="1658"/>
    </row>
    <row r="43" spans="1:21" ht="65.25">
      <c r="A43" s="1691"/>
      <c r="B43" s="1653"/>
      <c r="C43" s="1691"/>
      <c r="D43" s="1653"/>
      <c r="E43" s="440" t="s">
        <v>617</v>
      </c>
      <c r="F43" s="442">
        <f>2*2500</f>
        <v>5000</v>
      </c>
      <c r="G43" s="1655"/>
      <c r="H43" s="1658"/>
      <c r="I43" s="1618"/>
      <c r="J43" s="1618"/>
      <c r="K43" s="1618"/>
      <c r="L43" s="1618"/>
      <c r="M43" s="1618"/>
      <c r="N43" s="1618"/>
      <c r="O43" s="1618"/>
      <c r="P43" s="1618"/>
      <c r="Q43" s="1618"/>
      <c r="R43" s="1618"/>
      <c r="S43" s="1618"/>
      <c r="T43" s="1618"/>
      <c r="U43" s="1658"/>
    </row>
    <row r="44" spans="1:21" ht="21.75">
      <c r="A44" s="1692"/>
      <c r="B44" s="1653"/>
      <c r="C44" s="1692"/>
      <c r="D44" s="1653"/>
      <c r="E44" s="419" t="s">
        <v>4</v>
      </c>
      <c r="F44" s="420">
        <f>SUM(F41:F43)</f>
        <v>9800</v>
      </c>
      <c r="G44" s="421"/>
      <c r="H44" s="421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1"/>
    </row>
    <row r="45" spans="1:21" ht="65.25">
      <c r="A45" s="1713" t="s">
        <v>618</v>
      </c>
      <c r="B45" s="1653"/>
      <c r="C45" s="1653" t="s">
        <v>619</v>
      </c>
      <c r="D45" s="1653" t="s">
        <v>620</v>
      </c>
      <c r="E45" s="440" t="s">
        <v>621</v>
      </c>
      <c r="F45" s="441">
        <f>65*4*20</f>
        <v>5200</v>
      </c>
      <c r="G45" s="1714" t="s">
        <v>77</v>
      </c>
      <c r="H45" s="1715" t="s">
        <v>622</v>
      </c>
      <c r="I45" s="1712"/>
      <c r="J45" s="1712"/>
      <c r="K45" s="1712"/>
      <c r="L45" s="1712"/>
      <c r="M45" s="1712"/>
      <c r="N45" s="1712">
        <v>12000</v>
      </c>
      <c r="O45" s="1712"/>
      <c r="P45" s="1712"/>
      <c r="Q45" s="1712"/>
      <c r="R45" s="1712"/>
      <c r="S45" s="1712"/>
      <c r="T45" s="1712">
        <v>12000</v>
      </c>
      <c r="U45" s="1715" t="s">
        <v>615</v>
      </c>
    </row>
    <row r="46" spans="1:21" ht="65.25">
      <c r="A46" s="1713"/>
      <c r="B46" s="1653"/>
      <c r="C46" s="1653"/>
      <c r="D46" s="1653"/>
      <c r="E46" s="440" t="s">
        <v>623</v>
      </c>
      <c r="F46" s="441">
        <f>65*2*80</f>
        <v>10400</v>
      </c>
      <c r="G46" s="1714"/>
      <c r="H46" s="1715"/>
      <c r="I46" s="1712"/>
      <c r="J46" s="1712"/>
      <c r="K46" s="1712"/>
      <c r="L46" s="1712"/>
      <c r="M46" s="1712"/>
      <c r="N46" s="1712"/>
      <c r="O46" s="1712"/>
      <c r="P46" s="1712"/>
      <c r="Q46" s="1712"/>
      <c r="R46" s="1712"/>
      <c r="S46" s="1712"/>
      <c r="T46" s="1712"/>
      <c r="U46" s="1715"/>
    </row>
    <row r="47" spans="1:21" ht="65.25">
      <c r="A47" s="1713"/>
      <c r="B47" s="1653"/>
      <c r="C47" s="1653"/>
      <c r="D47" s="1653"/>
      <c r="E47" s="440" t="s">
        <v>624</v>
      </c>
      <c r="F47" s="442">
        <f>2*5000</f>
        <v>10000</v>
      </c>
      <c r="G47" s="1714"/>
      <c r="H47" s="1715"/>
      <c r="I47" s="1712"/>
      <c r="J47" s="1712"/>
      <c r="K47" s="1712"/>
      <c r="L47" s="1712"/>
      <c r="M47" s="1712"/>
      <c r="N47" s="1712"/>
      <c r="O47" s="1712"/>
      <c r="P47" s="1712"/>
      <c r="Q47" s="1712"/>
      <c r="R47" s="1712"/>
      <c r="S47" s="1712"/>
      <c r="T47" s="1712"/>
      <c r="U47" s="1715"/>
    </row>
    <row r="48" spans="1:21" ht="21.75">
      <c r="A48" s="1713"/>
      <c r="B48" s="1653"/>
      <c r="C48" s="1653"/>
      <c r="D48" s="1653"/>
      <c r="E48" s="443" t="s">
        <v>4</v>
      </c>
      <c r="F48" s="420">
        <f>SUM(F45:F47)</f>
        <v>25600</v>
      </c>
      <c r="G48" s="421"/>
      <c r="H48" s="421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1"/>
    </row>
    <row r="49" spans="1:21" ht="65.25">
      <c r="A49" s="1650" t="s">
        <v>1446</v>
      </c>
      <c r="B49" s="1650"/>
      <c r="C49" s="1650" t="s">
        <v>619</v>
      </c>
      <c r="D49" s="1650" t="s">
        <v>620</v>
      </c>
      <c r="E49" s="444" t="s">
        <v>625</v>
      </c>
      <c r="F49" s="445">
        <f>65*2*20</f>
        <v>2600</v>
      </c>
      <c r="G49" s="1654" t="s">
        <v>77</v>
      </c>
      <c r="H49" s="1657" t="s">
        <v>626</v>
      </c>
      <c r="I49" s="1716"/>
      <c r="J49" s="1716"/>
      <c r="K49" s="1716"/>
      <c r="L49" s="1716"/>
      <c r="M49" s="1716"/>
      <c r="N49" s="1716">
        <v>1300</v>
      </c>
      <c r="O49" s="1716"/>
      <c r="P49" s="1716"/>
      <c r="Q49" s="1716"/>
      <c r="R49" s="1716"/>
      <c r="S49" s="1716"/>
      <c r="T49" s="1716">
        <v>1300</v>
      </c>
      <c r="U49" s="1657" t="s">
        <v>627</v>
      </c>
    </row>
    <row r="50" spans="1:21" ht="21.75">
      <c r="A50" s="1651"/>
      <c r="B50" s="1651"/>
      <c r="C50" s="1651"/>
      <c r="D50" s="1651"/>
      <c r="E50" s="446"/>
      <c r="F50" s="447"/>
      <c r="G50" s="1655"/>
      <c r="H50" s="1658"/>
      <c r="I50" s="1717"/>
      <c r="J50" s="1717"/>
      <c r="K50" s="1717"/>
      <c r="L50" s="1717"/>
      <c r="M50" s="1717"/>
      <c r="N50" s="1717"/>
      <c r="O50" s="1717"/>
      <c r="P50" s="1717"/>
      <c r="Q50" s="1717"/>
      <c r="R50" s="1717"/>
      <c r="S50" s="1717"/>
      <c r="T50" s="1717"/>
      <c r="U50" s="1658"/>
    </row>
    <row r="51" spans="1:21" ht="21.75">
      <c r="A51" s="1652"/>
      <c r="B51" s="1652"/>
      <c r="C51" s="1652"/>
      <c r="D51" s="1652"/>
      <c r="E51" s="443" t="s">
        <v>4</v>
      </c>
      <c r="F51" s="420">
        <f>SUM(F49:F50)</f>
        <v>2600</v>
      </c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</row>
    <row r="52" spans="1:21" ht="21.75">
      <c r="A52" s="448" t="s">
        <v>628</v>
      </c>
      <c r="B52" s="245"/>
      <c r="C52" s="273"/>
      <c r="D52" s="245"/>
      <c r="E52" s="449"/>
      <c r="F52" s="450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</row>
    <row r="53" spans="1:21" ht="65.25">
      <c r="A53" s="1700" t="s">
        <v>629</v>
      </c>
      <c r="B53" s="1653"/>
      <c r="C53" s="1700" t="s">
        <v>630</v>
      </c>
      <c r="D53" s="1653" t="s">
        <v>612</v>
      </c>
      <c r="E53" s="452" t="s">
        <v>631</v>
      </c>
      <c r="F53" s="453">
        <f>20*1*80</f>
        <v>1600</v>
      </c>
      <c r="G53" s="1654" t="s">
        <v>77</v>
      </c>
      <c r="H53" s="1657" t="s">
        <v>632</v>
      </c>
      <c r="I53" s="1617"/>
      <c r="J53" s="1617"/>
      <c r="K53" s="1617">
        <v>5400</v>
      </c>
      <c r="L53" s="1617"/>
      <c r="M53" s="1617"/>
      <c r="N53" s="1617"/>
      <c r="O53" s="1617"/>
      <c r="P53" s="1617">
        <v>5400</v>
      </c>
      <c r="Q53" s="1617"/>
      <c r="R53" s="1617"/>
      <c r="S53" s="1617"/>
      <c r="T53" s="1617"/>
      <c r="U53" s="1657" t="s">
        <v>627</v>
      </c>
    </row>
    <row r="54" spans="1:21" ht="65.25">
      <c r="A54" s="1691"/>
      <c r="B54" s="1653"/>
      <c r="C54" s="1691"/>
      <c r="D54" s="1653"/>
      <c r="E54" s="454" t="s">
        <v>633</v>
      </c>
      <c r="F54" s="455">
        <f>20*2*20</f>
        <v>800</v>
      </c>
      <c r="G54" s="1655"/>
      <c r="H54" s="1658"/>
      <c r="I54" s="1618"/>
      <c r="J54" s="1618"/>
      <c r="K54" s="1618"/>
      <c r="L54" s="1618"/>
      <c r="M54" s="1618"/>
      <c r="N54" s="1618"/>
      <c r="O54" s="1618"/>
      <c r="P54" s="1618"/>
      <c r="Q54" s="1618"/>
      <c r="R54" s="1618"/>
      <c r="S54" s="1618"/>
      <c r="T54" s="1618"/>
      <c r="U54" s="1658"/>
    </row>
    <row r="55" spans="1:21" ht="43.5">
      <c r="A55" s="1691"/>
      <c r="B55" s="1653"/>
      <c r="C55" s="1691"/>
      <c r="D55" s="1653"/>
      <c r="E55" s="456" t="s">
        <v>634</v>
      </c>
      <c r="F55" s="457">
        <v>3000</v>
      </c>
      <c r="G55" s="1656"/>
      <c r="H55" s="1719"/>
      <c r="I55" s="1718"/>
      <c r="J55" s="1718"/>
      <c r="K55" s="1718"/>
      <c r="L55" s="1718"/>
      <c r="M55" s="1718"/>
      <c r="N55" s="1718"/>
      <c r="O55" s="1718"/>
      <c r="P55" s="1718"/>
      <c r="Q55" s="1718"/>
      <c r="R55" s="1718"/>
      <c r="S55" s="1718"/>
      <c r="T55" s="1718"/>
      <c r="U55" s="1719"/>
    </row>
    <row r="56" spans="1:21" ht="21.75">
      <c r="A56" s="1692"/>
      <c r="B56" s="1653"/>
      <c r="C56" s="1692"/>
      <c r="D56" s="1653"/>
      <c r="E56" s="419" t="s">
        <v>4</v>
      </c>
      <c r="F56" s="420">
        <f>SUM(F53:F55)</f>
        <v>5400</v>
      </c>
      <c r="G56" s="421"/>
      <c r="H56" s="421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1"/>
    </row>
    <row r="57" spans="1:21" ht="43.5">
      <c r="A57" s="1700" t="s">
        <v>635</v>
      </c>
      <c r="B57" s="1653"/>
      <c r="C57" s="1700" t="s">
        <v>636</v>
      </c>
      <c r="D57" s="1653" t="s">
        <v>637</v>
      </c>
      <c r="E57" s="452" t="s">
        <v>638</v>
      </c>
      <c r="F57" s="453">
        <v>0</v>
      </c>
      <c r="G57" s="260" t="s">
        <v>77</v>
      </c>
      <c r="H57" s="26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63" t="s">
        <v>627</v>
      </c>
    </row>
    <row r="58" spans="1:21" ht="21.75">
      <c r="A58" s="1692"/>
      <c r="B58" s="1653"/>
      <c r="C58" s="1692"/>
      <c r="D58" s="1653"/>
      <c r="E58" s="419" t="s">
        <v>4</v>
      </c>
      <c r="F58" s="420">
        <f>SUM(F57:F57)</f>
        <v>0</v>
      </c>
      <c r="G58" s="421"/>
      <c r="H58" s="421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1"/>
    </row>
    <row r="59" spans="1:21" ht="47.25">
      <c r="A59" s="1650" t="s">
        <v>639</v>
      </c>
      <c r="B59" s="1650"/>
      <c r="C59" s="1650" t="s">
        <v>636</v>
      </c>
      <c r="D59" s="1653" t="s">
        <v>637</v>
      </c>
      <c r="E59" s="454" t="s">
        <v>640</v>
      </c>
      <c r="F59" s="455">
        <f>1*6*240</f>
        <v>1440</v>
      </c>
      <c r="G59" s="260" t="s">
        <v>77</v>
      </c>
      <c r="H59" s="263" t="s">
        <v>641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>
        <v>1440</v>
      </c>
      <c r="T59" s="253"/>
      <c r="U59" s="263" t="s">
        <v>627</v>
      </c>
    </row>
    <row r="60" spans="1:21" ht="92.25" customHeight="1">
      <c r="A60" s="1652"/>
      <c r="B60" s="1652"/>
      <c r="C60" s="1652"/>
      <c r="D60" s="1653"/>
      <c r="E60" s="419" t="s">
        <v>4</v>
      </c>
      <c r="F60" s="420">
        <f>SUM(F59:F59)</f>
        <v>1440</v>
      </c>
      <c r="G60" s="421"/>
      <c r="H60" s="421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1"/>
    </row>
    <row r="61" spans="1:21" ht="21.75">
      <c r="A61" s="259" t="s">
        <v>642</v>
      </c>
      <c r="B61" s="259"/>
      <c r="C61" s="259"/>
      <c r="D61" s="259"/>
      <c r="E61" s="426"/>
      <c r="F61" s="426"/>
      <c r="G61" s="421"/>
      <c r="H61" s="421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1"/>
    </row>
    <row r="62" spans="1:21" ht="65.25">
      <c r="A62" s="259" t="s">
        <v>643</v>
      </c>
      <c r="B62" s="259" t="s">
        <v>644</v>
      </c>
      <c r="C62" s="259" t="s">
        <v>645</v>
      </c>
      <c r="D62" s="259">
        <v>-30</v>
      </c>
      <c r="E62" s="440" t="s">
        <v>646</v>
      </c>
      <c r="F62" s="458">
        <f>30*2*80</f>
        <v>4800</v>
      </c>
      <c r="G62" s="421"/>
      <c r="H62" s="421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1"/>
    </row>
    <row r="63" spans="1:21" ht="65.25">
      <c r="A63" s="259"/>
      <c r="B63" s="259"/>
      <c r="C63" s="259"/>
      <c r="D63" s="259"/>
      <c r="E63" s="440" t="s">
        <v>647</v>
      </c>
      <c r="F63" s="458">
        <f>30*4*20</f>
        <v>2400</v>
      </c>
      <c r="G63" s="421"/>
      <c r="H63" s="421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1"/>
    </row>
    <row r="64" spans="1:21" ht="43.5">
      <c r="A64" s="259"/>
      <c r="B64" s="259"/>
      <c r="C64" s="259"/>
      <c r="D64" s="259"/>
      <c r="E64" s="440" t="s">
        <v>648</v>
      </c>
      <c r="F64" s="458">
        <v>3000</v>
      </c>
      <c r="G64" s="421"/>
      <c r="H64" s="421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1"/>
    </row>
    <row r="65" spans="1:21" ht="21.75">
      <c r="A65" s="259"/>
      <c r="B65" s="259"/>
      <c r="C65" s="259"/>
      <c r="D65" s="259"/>
      <c r="E65" s="443" t="s">
        <v>4</v>
      </c>
      <c r="F65" s="420">
        <f>SUM(F62:F64)</f>
        <v>10200</v>
      </c>
      <c r="G65" s="421"/>
      <c r="H65" s="421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1"/>
    </row>
    <row r="66" spans="1:21" ht="53.25">
      <c r="A66" s="426"/>
      <c r="B66" s="426"/>
      <c r="C66" s="426"/>
      <c r="D66" s="426"/>
      <c r="E66" s="423" t="s">
        <v>139</v>
      </c>
      <c r="F66" s="424">
        <f>F44+F48+F51+F56+F58+F60+F65</f>
        <v>55040</v>
      </c>
      <c r="G66" s="425"/>
      <c r="H66" s="425"/>
      <c r="I66" s="422">
        <f t="shared" ref="I66:T66" si="1">SUM(I41:I51)</f>
        <v>0</v>
      </c>
      <c r="J66" s="422">
        <f t="shared" si="1"/>
        <v>0</v>
      </c>
      <c r="K66" s="422">
        <f t="shared" si="1"/>
        <v>0</v>
      </c>
      <c r="L66" s="422">
        <f t="shared" si="1"/>
        <v>0</v>
      </c>
      <c r="M66" s="422">
        <f t="shared" si="1"/>
        <v>0</v>
      </c>
      <c r="N66" s="422">
        <f t="shared" si="1"/>
        <v>18200</v>
      </c>
      <c r="O66" s="422">
        <f t="shared" si="1"/>
        <v>0</v>
      </c>
      <c r="P66" s="422">
        <f t="shared" si="1"/>
        <v>0</v>
      </c>
      <c r="Q66" s="422">
        <f t="shared" si="1"/>
        <v>0</v>
      </c>
      <c r="R66" s="422">
        <f t="shared" si="1"/>
        <v>0</v>
      </c>
      <c r="S66" s="422">
        <f t="shared" si="1"/>
        <v>0</v>
      </c>
      <c r="T66" s="422">
        <f t="shared" si="1"/>
        <v>18200</v>
      </c>
      <c r="U66" s="426"/>
    </row>
    <row r="69" spans="1:21">
      <c r="F69" s="151">
        <f>F7+F12+F17</f>
        <v>24440</v>
      </c>
      <c r="G69" s="148" t="s">
        <v>649</v>
      </c>
    </row>
    <row r="70" spans="1:21">
      <c r="F70" s="152">
        <f>F28+F38</f>
        <v>29950</v>
      </c>
      <c r="G70" s="148" t="s">
        <v>650</v>
      </c>
    </row>
    <row r="71" spans="1:21">
      <c r="F71" s="151">
        <f>F44+F48+F51+F56+F60+F65</f>
        <v>55040</v>
      </c>
      <c r="G71" s="148" t="s">
        <v>445</v>
      </c>
    </row>
    <row r="72" spans="1:21">
      <c r="F72" s="151">
        <f>SUM(F69:F71)</f>
        <v>109430</v>
      </c>
    </row>
  </sheetData>
  <mergeCells count="209"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  <mergeCell ref="M53:M55"/>
    <mergeCell ref="A53:A56"/>
    <mergeCell ref="B53:B56"/>
    <mergeCell ref="C53:C56"/>
    <mergeCell ref="D53:D56"/>
    <mergeCell ref="T53:T55"/>
    <mergeCell ref="U53:U55"/>
    <mergeCell ref="S53:S55"/>
    <mergeCell ref="R49:R50"/>
    <mergeCell ref="S49:S50"/>
    <mergeCell ref="T49:T50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K49:K50"/>
    <mergeCell ref="L49:L50"/>
    <mergeCell ref="M49:M50"/>
    <mergeCell ref="N49:N50"/>
    <mergeCell ref="J49:J50"/>
    <mergeCell ref="Q49:Q50"/>
    <mergeCell ref="U45:U47"/>
    <mergeCell ref="O45:O47"/>
    <mergeCell ref="P45:P47"/>
    <mergeCell ref="Q45:Q47"/>
    <mergeCell ref="R45:R47"/>
    <mergeCell ref="S45:S47"/>
    <mergeCell ref="T45:T47"/>
    <mergeCell ref="U49:U50"/>
    <mergeCell ref="O49:O50"/>
    <mergeCell ref="P49:P50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T41:T43"/>
    <mergeCell ref="U41:U43"/>
    <mergeCell ref="J41:J43"/>
    <mergeCell ref="K41:K43"/>
    <mergeCell ref="L41:L43"/>
    <mergeCell ref="M41:M43"/>
    <mergeCell ref="N41:N43"/>
    <mergeCell ref="O41:O43"/>
    <mergeCell ref="D34:D37"/>
    <mergeCell ref="G34:G37"/>
    <mergeCell ref="H34:H37"/>
    <mergeCell ref="J34:J37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K34:K37"/>
    <mergeCell ref="A34:A37"/>
    <mergeCell ref="B34:B37"/>
    <mergeCell ref="C34:C37"/>
    <mergeCell ref="P41:P43"/>
    <mergeCell ref="Q41:Q43"/>
    <mergeCell ref="R41:R43"/>
    <mergeCell ref="S41:S43"/>
    <mergeCell ref="S30:S33"/>
    <mergeCell ref="T30:T33"/>
    <mergeCell ref="L34:L37"/>
    <mergeCell ref="M34:M37"/>
    <mergeCell ref="N34:N37"/>
    <mergeCell ref="U30:U33"/>
    <mergeCell ref="J30:J33"/>
    <mergeCell ref="K30:K33"/>
    <mergeCell ref="L30:L33"/>
    <mergeCell ref="M30:M33"/>
    <mergeCell ref="N30:N33"/>
    <mergeCell ref="O30:O33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P30:P33"/>
    <mergeCell ref="Q30:Q33"/>
    <mergeCell ref="R30:R33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T8:T11"/>
    <mergeCell ref="I8:I11"/>
    <mergeCell ref="J8:J11"/>
    <mergeCell ref="J13:J16"/>
    <mergeCell ref="K13:K16"/>
    <mergeCell ref="A19:U19"/>
    <mergeCell ref="L13:L16"/>
    <mergeCell ref="M13:M16"/>
    <mergeCell ref="N13:N16"/>
    <mergeCell ref="O13:O16"/>
    <mergeCell ref="P13:P16"/>
    <mergeCell ref="Q13:Q16"/>
    <mergeCell ref="T13:T16"/>
    <mergeCell ref="U13:U16"/>
    <mergeCell ref="U8:U11"/>
    <mergeCell ref="A13:A17"/>
    <mergeCell ref="B13:B17"/>
    <mergeCell ref="C13:C17"/>
    <mergeCell ref="D13:D17"/>
    <mergeCell ref="G13:G16"/>
    <mergeCell ref="H13:H16"/>
    <mergeCell ref="I13:I16"/>
    <mergeCell ref="C8:C12"/>
    <mergeCell ref="D8:D12"/>
    <mergeCell ref="K8:K11"/>
    <mergeCell ref="L8:L11"/>
    <mergeCell ref="M8:M11"/>
    <mergeCell ref="N8:N11"/>
    <mergeCell ref="A8:A12"/>
    <mergeCell ref="B8:B12"/>
    <mergeCell ref="R13:R16"/>
    <mergeCell ref="S13:S16"/>
    <mergeCell ref="Q8:Q11"/>
    <mergeCell ref="R8:R11"/>
    <mergeCell ref="G8:G11"/>
    <mergeCell ref="H8:H11"/>
    <mergeCell ref="O8:O11"/>
    <mergeCell ref="P8:P11"/>
    <mergeCell ref="S8:S11"/>
    <mergeCell ref="A6:A7"/>
    <mergeCell ref="B6:B7"/>
    <mergeCell ref="C6:C7"/>
    <mergeCell ref="D6:D7"/>
    <mergeCell ref="M4:M5"/>
    <mergeCell ref="N4:N5"/>
    <mergeCell ref="F4:F5"/>
    <mergeCell ref="G4:G5"/>
    <mergeCell ref="I4:I5"/>
    <mergeCell ref="J4:J5"/>
    <mergeCell ref="K4:K5"/>
    <mergeCell ref="L4:L5"/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  <mergeCell ref="S4:S5"/>
    <mergeCell ref="T4:T5"/>
    <mergeCell ref="O4:O5"/>
    <mergeCell ref="P4:P5"/>
    <mergeCell ref="Q4:Q5"/>
    <mergeCell ref="R4:R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23</vt:i4>
      </vt:variant>
      <vt:variant>
        <vt:lpstr>ช่วงที่มีชื่อ</vt:lpstr>
      </vt:variant>
      <vt:variant>
        <vt:i4>41</vt:i4>
      </vt:variant>
    </vt:vector>
  </HeadingPairs>
  <TitlesOfParts>
    <vt:vector size="64" baseType="lpstr">
      <vt:lpstr>สรุป</vt:lpstr>
      <vt:lpstr>รวมงบยุทธ 5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36 ย5ก13 ช้อม1669</vt:lpstr>
      <vt:lpstr>37ย5ก13ช้อมEOC</vt:lpstr>
      <vt:lpstr>38ย5ก14คร.เข้มแข็ง-เสร็จ</vt:lpstr>
      <vt:lpstr>39ย5ก14TB</vt:lpstr>
      <vt:lpstr>40ย5ก14วัคีนโควิด(เสร็จ)</vt:lpstr>
      <vt:lpstr>41ย5ก15สุขศึษารพ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'40ย5ก14วัคีนโควิด(เสร็จ)'!Print_Area</vt:lpstr>
      <vt:lpstr>'41ย5ก15สุขศึษารพ'!Print_Area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'รวมงบยุทธ 5'!Print_Area</vt:lpstr>
      <vt:lpstr>สรุป!Print_Area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'36 ย5ก13 ช้อม1669'!Print_Titles</vt:lpstr>
      <vt:lpstr>'37ย5ก13ช้อมEOC'!Print_Titles</vt:lpstr>
      <vt:lpstr>'38ย5ก14คร.เข้มแข็ง-เสร็จ'!Print_Titles</vt:lpstr>
      <vt:lpstr>'39ย5ก14TB'!Print_Titles</vt:lpstr>
      <vt:lpstr>'3-ทรัพฯ(1)'!Print_Titles</vt:lpstr>
      <vt:lpstr>'40ย5ก14วัคีนโควิด(เสร็จ)'!Print_Titles</vt:lpstr>
      <vt:lpstr>'41ย5ก15สุขศึษารพ'!Print_Titles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'รวมงบยุทธ 5'!Print_Titles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Aon</cp:lastModifiedBy>
  <cp:lastPrinted>2021-12-20T11:07:17Z</cp:lastPrinted>
  <dcterms:created xsi:type="dcterms:W3CDTF">2018-09-23T07:08:04Z</dcterms:created>
  <dcterms:modified xsi:type="dcterms:W3CDTF">2021-12-20T11:09:21Z</dcterms:modified>
</cp:coreProperties>
</file>