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1325" tabRatio="1000" firstSheet="0" activeTab="0"/>
  </bookViews>
  <sheets>
    <sheet name="ใบสรุปราคา" sheetId="1" r:id="rId1"/>
    <sheet name="หมวดงาน" sheetId="2" r:id="rId2"/>
    <sheet name="บัญชีวัสดุ-ราคา" sheetId="3" r:id="rId3"/>
    <sheet name="12งวด" sheetId="4" r:id="rId4"/>
    <sheet name="f อาคาร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localSheetId="0" hidden="1">'[1]PL'!#REF!</definedName>
    <definedName name="_Fill" hidden="1">'[1]PL'!#REF!</definedName>
    <definedName name="_xlfn.BAHTTEXT" hidden="1">#NAME?</definedName>
    <definedName name="aa" localSheetId="0" hidden="1">{"'SUMMATION'!$B$2:$I$2"}</definedName>
    <definedName name="aa" hidden="1">{"'SUMMATION'!$B$2:$I$2"}</definedName>
    <definedName name="aaa" localSheetId="0" hidden="1">{"'SUMMATION'!$B$2:$I$2"}</definedName>
    <definedName name="aaa" hidden="1">{"'SUMMATION'!$B$2:$I$2"}</definedName>
    <definedName name="CCTV">'[2]boq'!#REF!</definedName>
    <definedName name="DB12_MM.">#REF!</definedName>
    <definedName name="DB16_MM.">#REF!</definedName>
    <definedName name="DB20_MM.">#REF!</definedName>
    <definedName name="DB25_MM.">#REF!</definedName>
    <definedName name="DB28_MM.">#REF!</definedName>
    <definedName name="FAC1">'[4]สรุป'!$C$307</definedName>
    <definedName name="factor_table">#REF!</definedName>
    <definedName name="HTML_CodePage" hidden="1">874</definedName>
    <definedName name="HTML_Control" localSheetId="0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MATV">'[2]boq'!#REF!</definedName>
    <definedName name="MATV1">'[2]boq'!#REF!</definedName>
    <definedName name="_xlnm.Print_Area" localSheetId="3">'12งวด'!$B$1:$M$39</definedName>
    <definedName name="_xlnm.Print_Area" localSheetId="4">'f อาคาร'!$B$2:$N$39</definedName>
    <definedName name="_xlnm.Print_Area" localSheetId="2">'บัญชีวัสดุ-ราคา'!$B$1:$K$357</definedName>
    <definedName name="_xlnm.Print_Area" localSheetId="0">'ใบสรุปราคา'!$B$1:$J$41</definedName>
    <definedName name="_xlnm.Print_Area" localSheetId="1">'หมวดงาน'!$B$1:$G$71</definedName>
    <definedName name="PRINT_AREA_MI">'[5]LOTUS-EE1'!#REF!</definedName>
    <definedName name="_xlnm.Print_Titles" localSheetId="2">'บัญชีวัสดุ-ราคา'!$1:$7</definedName>
    <definedName name="_xlnm.Print_Titles" localSheetId="1">'หมวดงาน'!$1:$5</definedName>
    <definedName name="WALL" localSheetId="0" hidden="1">{"'SUMMATION'!$B$2:$I$2"}</definedName>
    <definedName name="WALL" hidden="1">{"'SUMMATION'!$B$2:$I$2"}</definedName>
    <definedName name="WEIGHT">#REF!</definedName>
    <definedName name="กราวน์">'[2]boq'!#REF!</definedName>
    <definedName name="โครงการ__อาคาร_พักแพทย์_พยาบาล_เภสัชกร_และ_ทันตแพทย์">#REF!</definedName>
    <definedName name="ใบ" localSheetId="0" hidden="1">{"'SUMMATION'!$B$2:$I$2"}</definedName>
    <definedName name="ใบ" hidden="1">{"'SUMMATION'!$B$2:$I$2"}</definedName>
    <definedName name="ปก32" localSheetId="0" hidden="1">{"'SUMMATION'!$B$2:$I$2"}</definedName>
    <definedName name="ปก32" hidden="1">{"'SUMMATION'!$B$2:$I$2"}</definedName>
    <definedName name="ภาพและเสียง">'[2]boq'!#REF!</definedName>
    <definedName name="แสง">'[2]boq'!#REF!</definedName>
    <definedName name="แสงสว่างห้องประชุม">'[2]boq'!#REF!</definedName>
  </definedNames>
  <calcPr fullCalcOnLoad="1"/>
</workbook>
</file>

<file path=xl/sharedStrings.xml><?xml version="1.0" encoding="utf-8"?>
<sst xmlns="http://schemas.openxmlformats.org/spreadsheetml/2006/main" count="1001" uniqueCount="500">
  <si>
    <t xml:space="preserve">โครงการก่อสร้าง </t>
  </si>
  <si>
    <t>แบบเลขที่ :</t>
  </si>
  <si>
    <t xml:space="preserve"> </t>
  </si>
  <si>
    <t xml:space="preserve">สถานที่ก่อสร้าง </t>
  </si>
  <si>
    <t>เอกสารเลขที่</t>
  </si>
  <si>
    <t>พื้นที่อาคาร</t>
  </si>
  <si>
    <t>ตร.ม.</t>
  </si>
  <si>
    <t>ชั้น</t>
  </si>
  <si>
    <t>ลำดับ</t>
  </si>
  <si>
    <t>หมายเหตุ</t>
  </si>
  <si>
    <t>แบบเลขที่</t>
  </si>
  <si>
    <t>รายการ</t>
  </si>
  <si>
    <t>หน่วย</t>
  </si>
  <si>
    <t>จำนวน</t>
  </si>
  <si>
    <t>ค่าวัสดุ</t>
  </si>
  <si>
    <t>ค่าแรงงาน</t>
  </si>
  <si>
    <t>รวมเงิน</t>
  </si>
  <si>
    <t>ต่อหน่วย</t>
  </si>
  <si>
    <t>เป็นเงิน</t>
  </si>
  <si>
    <t>จุด</t>
  </si>
  <si>
    <t>ต้น</t>
  </si>
  <si>
    <t>ลบ.ม</t>
  </si>
  <si>
    <t>ทรายหยาบบดอัดแน่น</t>
  </si>
  <si>
    <t>ตร.ม</t>
  </si>
  <si>
    <t>ตะปู</t>
  </si>
  <si>
    <t>กก.</t>
  </si>
  <si>
    <t>ลวดผูกเหล็ก</t>
  </si>
  <si>
    <t>คอนกรีตผสมน้ำยากันซึม</t>
  </si>
  <si>
    <t xml:space="preserve">หนาประมาณ 2 ซม. </t>
  </si>
  <si>
    <t xml:space="preserve">พื้นผิวปูนทรายขัดมัน </t>
  </si>
  <si>
    <t xml:space="preserve">พื้นผิวขัดหยาบ </t>
  </si>
  <si>
    <t>ม</t>
  </si>
  <si>
    <t>ผนังฉาบปูนเรียบ</t>
  </si>
  <si>
    <t>ฉาบปูนโครงสร้าง</t>
  </si>
  <si>
    <t>ฉาบปูนขัดมัน</t>
  </si>
  <si>
    <t>ท้องพื้นสำเร็จรูปแต่งแนว</t>
  </si>
  <si>
    <t>ฝ้ากระเบื้องแผ่นเรียบหนา 4 มม.โครง</t>
  </si>
  <si>
    <t>เคร่าอลูมิเนียมทีบาร์ @ 0.60x0.60#</t>
  </si>
  <si>
    <t>ฝ้ายิบซั่มบอร์ดหนา 9 มม.โครงคร่าว</t>
  </si>
  <si>
    <t>อลูมิเนียมทีบาร์ @ 0.60x0.60#</t>
  </si>
  <si>
    <t>ฝ้ายิบซั่มบอร์ดหนา 12 มม.โครงคร่าว</t>
  </si>
  <si>
    <t>เหล็กชุบสังกะสีขนาด @ 0.60x1.20#</t>
  </si>
  <si>
    <t>ฝ้าฉาบปูนเรียบ</t>
  </si>
  <si>
    <t>แผ่นกันรังสีความร้อน DURAL FOIL 450</t>
  </si>
  <si>
    <t>ชุด</t>
  </si>
  <si>
    <t>ป5. บานเหล็กกันไฟพร้อมวงกบ0.8x2.00ม.</t>
  </si>
  <si>
    <t>ป6. บานเหล็กขนาด0.9x2.00ม.</t>
  </si>
  <si>
    <t>ป, ช่องเดินท่อไม้ยางทนน้ำขนาด2-0.40x1.00</t>
  </si>
  <si>
    <t>ป. ช่องทิ้งขยะพร้อมอุปกรณ์ วงกบ</t>
  </si>
  <si>
    <t>น6. บานกระทุ้งพร้อมวงกบอลูมิเนียม</t>
  </si>
  <si>
    <t>บานมุ้งลวดอลูมิเนียม</t>
  </si>
  <si>
    <t>ท่อน</t>
  </si>
  <si>
    <t>L/S</t>
  </si>
  <si>
    <t>ELECTORD SWITCH</t>
  </si>
  <si>
    <t>เครื่อง</t>
  </si>
  <si>
    <t>ถัง</t>
  </si>
  <si>
    <t>เครื่องดับเพลิงเคมีแห้ง ABC ขนาด 15 LB</t>
  </si>
  <si>
    <t>ถังเกรอะ DOS-DS 5000 (รวมค่าติดตั้ง)</t>
  </si>
  <si>
    <t>ถังกรอง DOS-DL 5000 (รวมค่าติดตั้ง)</t>
  </si>
  <si>
    <t>เครื่องสูบน้ำ(CWP)Q=300 C/M,H=30M</t>
  </si>
  <si>
    <t>MOTOR=5 HP SPEED 2900 RPM</t>
  </si>
  <si>
    <t>แท่นติดตั้งเครื่องสูบน้ำ</t>
  </si>
  <si>
    <t>แท่น</t>
  </si>
  <si>
    <t>อุปกรณ์ประกอบ</t>
  </si>
  <si>
    <t xml:space="preserve">สวิทช์ไฟฟ้าสองทาง 10A,300V </t>
  </si>
  <si>
    <t>เต้ารับไฟฟ้าชนิดคู่ 10A,250V 2P+Eฝังผนัง</t>
  </si>
  <si>
    <t>MINIATURE CB WITH ENCLOSSURE(20-30A,2P)</t>
  </si>
  <si>
    <t>ตู้ MAIN DISTRIBUTION BOARD</t>
  </si>
  <si>
    <t>ตู้ PB-LC</t>
  </si>
  <si>
    <t>ตู้ SDB2 (3,4,5,6)</t>
  </si>
  <si>
    <t>ตู้ LP-N1 (N2,N3,N4)</t>
  </si>
  <si>
    <t>กล่องเหล็กพร้อม CB,60A,3P (ลิฟท์)</t>
  </si>
  <si>
    <t>อุปกรณ์ประกอบท่อ</t>
  </si>
  <si>
    <t>เดินสายลอย ไฟดวงโคม เต้ารับไฟฟ้า พัดลม</t>
  </si>
  <si>
    <t>ดูดอากาศ</t>
  </si>
  <si>
    <t>เบ็ดเตล็ด กล่องต่อสาย อุปกรณ์ต่อสาย</t>
  </si>
  <si>
    <t>GROUNDING</t>
  </si>
  <si>
    <t>เดินสายลอยไป CB.</t>
  </si>
  <si>
    <t>AIR TERMINAL ชนิดสร้าง FREE ELECTRON</t>
  </si>
  <si>
    <t>เสาความสูง 5 ม.</t>
  </si>
  <si>
    <t>DOWN CONDUCTOR (TRIAX 50mm2)</t>
  </si>
  <si>
    <t>LIGHTING EVENT COUNTER</t>
  </si>
  <si>
    <t>GROUND ROD 5/8"x10x3</t>
  </si>
  <si>
    <t>ค่าแรงติดตั้ง</t>
  </si>
  <si>
    <t>อุปกรณ์ต่อ เชื่อมสาย TEST BOX, ท่อPVC</t>
  </si>
  <si>
    <t>TELEPHONE OUTLET</t>
  </si>
  <si>
    <t>WIRE WAY 2"X4",10 PRS-0.5mm TPEV</t>
  </si>
  <si>
    <t>เดินสายลอยไปเต้ารับโทรศัพท์</t>
  </si>
  <si>
    <t>BOOSTER ANTENNA,TV ANTENNA,CHANNEL</t>
  </si>
  <si>
    <t>FILTER,POWER SUPPLY</t>
  </si>
  <si>
    <t>MIXER,MULTIBAND AMPLIFIER</t>
  </si>
  <si>
    <t>TV.OUTLET</t>
  </si>
  <si>
    <t>4 WAY SPLITTER</t>
  </si>
  <si>
    <t>TAP OFF</t>
  </si>
  <si>
    <t>เดินสายลอยไปเต้ารับ TV</t>
  </si>
  <si>
    <t>อุปกรณ์ต่อสาย สายสัญญาณ TV(เมน)</t>
  </si>
  <si>
    <t>FIRE ALARM CONTROL PANEL 6 ZONE</t>
  </si>
  <si>
    <t>SMOKE DETECTOR</t>
  </si>
  <si>
    <t>FIRE ALARM BELL</t>
  </si>
  <si>
    <t>เดินสายลอยสำหรับอุปกรณ์</t>
  </si>
  <si>
    <t>เดินสายจาก FCP ไปแต่ละชั้น,ท่อ อุปกรณ์ยึดท่อ</t>
  </si>
  <si>
    <t>อุปกรณ์ต่อสาย</t>
  </si>
  <si>
    <t>MANUAL ALARM BOX</t>
  </si>
  <si>
    <t>F1,F1A ตู้เตี้ย ค.ส.ล.พร้อมตู้แขวน</t>
  </si>
  <si>
    <t xml:space="preserve">ขนาด 0.60x0.80x2.70 ม อ่างแสตนเลส 1 หลุม </t>
  </si>
  <si>
    <t>จุดวิ่งรับส่ง 6 ชั้น 6 ประตู</t>
  </si>
  <si>
    <t>ทาสีน้ำมัน</t>
  </si>
  <si>
    <t>ตัว</t>
  </si>
  <si>
    <t>ป้าย</t>
  </si>
  <si>
    <t xml:space="preserve">        สรุปผลการกำหนดงวดเงินค่าก่อสร้าง</t>
  </si>
  <si>
    <t>แผ่นที่  1 / 1</t>
  </si>
  <si>
    <t xml:space="preserve">รายละเอียด การแบ่งงวดงาน - งวดเงิน  อาคารพักแพทย์ 20 ยูนิต ( สูง 6 ชั้น ) </t>
  </si>
  <si>
    <t>เอกสารเลขที่...</t>
  </si>
  <si>
    <t xml:space="preserve">     แบบเลขที่...     8440</t>
  </si>
  <si>
    <t>เงินค่าก่อสร้าง...   100     %</t>
  </si>
  <si>
    <t xml:space="preserve">            งาน...         12      งวด</t>
  </si>
  <si>
    <t>เวลาก่อสร้าง...          400               วัน</t>
  </si>
  <si>
    <t>งวด</t>
  </si>
  <si>
    <t>รายละ-</t>
  </si>
  <si>
    <t>เงินของเนื้องาน</t>
  </si>
  <si>
    <t>หัก  20  %</t>
  </si>
  <si>
    <t>รวม  100 %</t>
  </si>
  <si>
    <t>จ่าย 80  %</t>
  </si>
  <si>
    <t>จ่ายจริง</t>
  </si>
  <si>
    <t>กำหนดวัน</t>
  </si>
  <si>
    <t>ที่</t>
  </si>
  <si>
    <t>เอียด</t>
  </si>
  <si>
    <t>แต่ละงวด</t>
  </si>
  <si>
    <t>จากงวดก่อน</t>
  </si>
  <si>
    <t>รวมงวดต่อไป</t>
  </si>
  <si>
    <t>แล้วเสร็จ</t>
  </si>
  <si>
    <t>1</t>
  </si>
  <si>
    <t>ตามราย-</t>
  </si>
  <si>
    <t>%</t>
  </si>
  <si>
    <t>วัน</t>
  </si>
  <si>
    <t>2</t>
  </si>
  <si>
    <t>ละเอียด-</t>
  </si>
  <si>
    <t>3</t>
  </si>
  <si>
    <t>ที่แนบมา</t>
  </si>
  <si>
    <t>4</t>
  </si>
  <si>
    <t xml:space="preserve">    ,,</t>
  </si>
  <si>
    <t>5</t>
  </si>
  <si>
    <t>6</t>
  </si>
  <si>
    <t>7</t>
  </si>
  <si>
    <t>8</t>
  </si>
  <si>
    <t>9</t>
  </si>
  <si>
    <t>10</t>
  </si>
  <si>
    <t>11</t>
  </si>
  <si>
    <t>12</t>
  </si>
  <si>
    <t>ลงชื่อ..............................................</t>
  </si>
  <si>
    <t>......  ผู้กำหนดงวดเงิน</t>
  </si>
  <si>
    <t xml:space="preserve">        ลงชื่อ.......................................................</t>
  </si>
  <si>
    <t>ผู้ตรวจสอบงวดเงิน</t>
  </si>
  <si>
    <t xml:space="preserve">       (                                      )</t>
  </si>
  <si>
    <t>(   นายวิรัตน์  ศรีรัตนวรางกูร   )</t>
  </si>
  <si>
    <t xml:space="preserve">                (  น.ส.ผกา  เอื้อปรัชญากุล   )</t>
  </si>
  <si>
    <t xml:space="preserve">  </t>
  </si>
  <si>
    <t>ม.</t>
  </si>
  <si>
    <t>สถานที่ก่อสร้าง</t>
  </si>
  <si>
    <t>สถานที่ก่อสร้าง...   โรงพยาบาลขอนแก่น  จังหวัดขอนแก่น</t>
  </si>
  <si>
    <t xml:space="preserve">ที่  </t>
  </si>
  <si>
    <t>ส่วนราชการ               กลุ่มกำกับฯ 4          กองแบบแผน           กรมสนับสนุนบริการสุขภาพ</t>
  </si>
  <si>
    <t>วันที่                เดือน       กุมภาพันธ์         พ.ศ.  2550</t>
  </si>
  <si>
    <t xml:space="preserve">หน่วยงานออกแบบแปลนและรายการ   </t>
  </si>
  <si>
    <t>กองแบบแผน  กรมสนับสนุนบริการสุขภาพ</t>
  </si>
  <si>
    <t>ประมาณราคาตามแบบ     ปร.4</t>
  </si>
  <si>
    <t>ลำดับที่</t>
  </si>
  <si>
    <t xml:space="preserve">     ราคารวมค่า  Factor  F</t>
  </si>
  <si>
    <t>7 %</t>
  </si>
  <si>
    <t xml:space="preserve">เฉลี่ยราคา </t>
  </si>
  <si>
    <t>บาท / ตร.ม.</t>
  </si>
  <si>
    <t>(คิดเฉพาะค่าวัสดุและค่าแรงงานหรือทุนซึ่งยังไม่รวมค่าอำนวยการ ดอกเบี้ย กำไร และภาษี)</t>
  </si>
  <si>
    <t>งานสถาปัตยกรรม</t>
  </si>
  <si>
    <t>งานระบบไฟฟ้าและสื่อสาร</t>
  </si>
  <si>
    <t>รวมค่างานกลุ่มงานที่ 1</t>
  </si>
  <si>
    <t>รวมค่างานกลุ่มงานที่ 2</t>
  </si>
  <si>
    <t>รวมค่างานกลุ่มงานที่ 3</t>
  </si>
  <si>
    <t>งานภูมิทัศน์</t>
  </si>
  <si>
    <t>รวมค่างานส่วนที่ 1</t>
  </si>
  <si>
    <t>(คิดราคาผู้ผลิตหรือตัวแทนจำหน่ายซึ่งยังไม่รวมค่าภาษี)</t>
  </si>
  <si>
    <t>ระบบโสตทัศน์ , ระบบคอมพิวเตอร์</t>
  </si>
  <si>
    <t>รวมค่างานส่วนที่ 2</t>
  </si>
  <si>
    <t>หมวดค่าใช้จ่ายพิเศษตามข้อกำหนด เงื่อนไข และความจำเป็นต้องมี</t>
  </si>
  <si>
    <t>รวมค่างานส่วนที่ 3</t>
  </si>
  <si>
    <t xml:space="preserve">แบบเลขที่ </t>
  </si>
  <si>
    <t xml:space="preserve">                 </t>
  </si>
  <si>
    <t xml:space="preserve">ผู้ประมาณราคา </t>
  </si>
  <si>
    <t xml:space="preserve">ทดสอบน้ำหนักบรรทุกเสาเข็มโดยวิธี </t>
  </si>
  <si>
    <t xml:space="preserve">เจาะสำรวจดินโดยวิธี BORING  TEST </t>
  </si>
  <si>
    <t xml:space="preserve">เอ็น,ทับหลัง ค.ส.ล. </t>
  </si>
  <si>
    <t xml:space="preserve">จำนวนเงินชนิดฐานราก </t>
  </si>
  <si>
    <t xml:space="preserve">เสาเข็มเจาะ </t>
  </si>
  <si>
    <t>1.1 งานโครงสร้างฐานราก</t>
  </si>
  <si>
    <t xml:space="preserve">1.2 งานโครงสร้างทั่วไป </t>
  </si>
  <si>
    <t>คอนกรีตหยาบ (คอนกรีตผสมเสร็จ)</t>
  </si>
  <si>
    <t xml:space="preserve">ค่าขนย้ายดินจากเสาเข็มเจาะ </t>
  </si>
  <si>
    <t>รวมเงิน (1)+(2)+(3)</t>
  </si>
  <si>
    <t>ดอกเบี้ยเงินกู้</t>
  </si>
  <si>
    <t>ค่างานต้นทุน</t>
  </si>
  <si>
    <t>Factor F</t>
  </si>
  <si>
    <t>ขุดดิน และถมคืน (ขุดลึก 1.00-1.50 ม.)</t>
  </si>
  <si>
    <t>บันไดลิงเหล็กดำ Dia 2"</t>
  </si>
  <si>
    <t>ราวเหล็กดำ 1-Dia 2"</t>
  </si>
  <si>
    <t>ราวเหล็กดำ 2-Dia 2"</t>
  </si>
  <si>
    <t>บาท</t>
  </si>
  <si>
    <t xml:space="preserve"> กลุ่มงานที่ 1</t>
  </si>
  <si>
    <t xml:space="preserve"> 1.1 งานโครงสร้างวิศวกรรม</t>
  </si>
  <si>
    <t xml:space="preserve"> - RB   6 มม.</t>
  </si>
  <si>
    <t xml:space="preserve"> - RB   9 มม.</t>
  </si>
  <si>
    <t xml:space="preserve"> - DB  12 มม.</t>
  </si>
  <si>
    <t xml:space="preserve"> - DB  20 มม.</t>
  </si>
  <si>
    <t xml:space="preserve"> 1.1.1 งานโครงสร้างฐานราก</t>
  </si>
  <si>
    <t xml:space="preserve"> 2) งานฐานรากชนิดเสาเข็มเจาะ</t>
  </si>
  <si>
    <t xml:space="preserve"> - DB  25 มม.</t>
  </si>
  <si>
    <t>ค่าแรงตัดหัวเสาเข็ม พร้อมขนย้าย</t>
  </si>
  <si>
    <t>รวม 2)</t>
  </si>
  <si>
    <t xml:space="preserve"> 1.1.2 งานโครงสร้างทั่วไป</t>
  </si>
  <si>
    <t xml:space="preserve"> - DB  16 มม.</t>
  </si>
  <si>
    <t>รวม 1.1.2</t>
  </si>
  <si>
    <t xml:space="preserve"> 1.2 งานสถาปัตยกรรม</t>
  </si>
  <si>
    <t xml:space="preserve"> 1.2.1 งานฝ้าเพดาน</t>
  </si>
  <si>
    <t>รวม 1.2.1</t>
  </si>
  <si>
    <t xml:space="preserve"> 1.2.2 งานพื้น</t>
  </si>
  <si>
    <t xml:space="preserve">พื้นหินขัดสำเร็จรูปขนาดประมาณ 0.30 x 0.30 ม. </t>
  </si>
  <si>
    <t>รวม 1.2.2</t>
  </si>
  <si>
    <t xml:space="preserve"> 1.2.3 งานผนัง</t>
  </si>
  <si>
    <t xml:space="preserve"> - ขนาด 0.10 x 0.10 ม.</t>
  </si>
  <si>
    <t xml:space="preserve"> - ขนาด 0.10 x 0.20 ม.</t>
  </si>
  <si>
    <t>รวม 1.2.3</t>
  </si>
  <si>
    <t xml:space="preserve"> 1.2.4 งานวงกบ-กระจก-มุ้งลวด</t>
  </si>
  <si>
    <t>ตร.ฟ.</t>
  </si>
  <si>
    <t>รวม 1.2.4</t>
  </si>
  <si>
    <t xml:space="preserve"> 1.2.5 งานประตู-หน้าต่าง</t>
  </si>
  <si>
    <t xml:space="preserve"> - ขนาด 2.20x1.30 ม</t>
  </si>
  <si>
    <t xml:space="preserve"> - ขนาด 1.60x1.30 ม</t>
  </si>
  <si>
    <t>รวม 1.2.5</t>
  </si>
  <si>
    <t xml:space="preserve"> 1.2.6 งานสุขภัณฑ์</t>
  </si>
  <si>
    <t>สายฉีดชำระชนิดมีปุ่มกดน้ำ+วาวล์ปิดเปิดน้ำ</t>
  </si>
  <si>
    <t>รวม 1.2.6</t>
  </si>
  <si>
    <t xml:space="preserve"> 1.2.7 งานทาสี</t>
  </si>
  <si>
    <t>ทาสีอิมัลชั่นชนิดทนสภาวะอากาศ</t>
  </si>
  <si>
    <t>รวม 1.2.7</t>
  </si>
  <si>
    <t xml:space="preserve"> 1.2.8 งานเบ็ดเตล็ด</t>
  </si>
  <si>
    <t>รวม 1.2.8</t>
  </si>
  <si>
    <t xml:space="preserve"> 1.3 งานระบบสุขาภิบาล และดับเพลิง</t>
  </si>
  <si>
    <t xml:space="preserve">ท่อส้วม PVC 8.5 </t>
  </si>
  <si>
    <t xml:space="preserve"> - Dia. 6"</t>
  </si>
  <si>
    <t xml:space="preserve"> - Dia. 4"</t>
  </si>
  <si>
    <t>ท่อน้ำทิ้ง PVC 8.5</t>
  </si>
  <si>
    <t xml:space="preserve"> - Dia. 3"</t>
  </si>
  <si>
    <t xml:space="preserve"> - Dia. 2 1/2"</t>
  </si>
  <si>
    <t xml:space="preserve"> - Dia. 2"</t>
  </si>
  <si>
    <t xml:space="preserve"> - Dia. 1 1/2"</t>
  </si>
  <si>
    <t xml:space="preserve">ท่อระบายอากาศ PVC 8.5 </t>
  </si>
  <si>
    <t xml:space="preserve"> - Dia. 1 1/4"</t>
  </si>
  <si>
    <t xml:space="preserve"> - Dia. 1"</t>
  </si>
  <si>
    <t xml:space="preserve">ท่อระบายน้ำฝน PVC 8.5 </t>
  </si>
  <si>
    <t>ท่อน้ำประปา GSP CLASS B Dia 2"</t>
  </si>
  <si>
    <t xml:space="preserve">ท่อน้ำประปา PB SDR 13.5 </t>
  </si>
  <si>
    <t xml:space="preserve"> - Dia. 3/4"</t>
  </si>
  <si>
    <t xml:space="preserve"> - Dia. 1/2"</t>
  </si>
  <si>
    <t>RUBBER FLEXIBLE</t>
  </si>
  <si>
    <t>FLOOR DRAIN  Dia. 2"</t>
  </si>
  <si>
    <t>AREA DRAIN  Dia. 2"</t>
  </si>
  <si>
    <t>CLEAN OUT</t>
  </si>
  <si>
    <t>VENT THOUGH ROOF  Dia. 2"(PVC)</t>
  </si>
  <si>
    <t>ROOF DRAIN  Dia. 3"</t>
  </si>
  <si>
    <t>MODULATING FLOAT VALVE  Dia. 1"</t>
  </si>
  <si>
    <t>FOOT VALVE  Dia. 2"</t>
  </si>
  <si>
    <t>CHECK VALVE  Dia. 2"</t>
  </si>
  <si>
    <t>STRAINER  Dia. 2"</t>
  </si>
  <si>
    <t>FLEXIBLE CONNECTOR  Dia. 2"</t>
  </si>
  <si>
    <t>PRESSURE GRAGE  Dia. 4"(0-500 PSI)</t>
  </si>
  <si>
    <t>VENT THOUGH ROOF  Dia. 2 1/2"</t>
  </si>
  <si>
    <t>ก๊อกสนาม (NOBBIT)  Dia. 1/2"</t>
  </si>
  <si>
    <t>WATER FLOW METER  Dia. 3/4"</t>
  </si>
  <si>
    <t>BALL VALVE  Dia. 1"</t>
  </si>
  <si>
    <t>GATE VALVE</t>
  </si>
  <si>
    <t>BUTTERFLY VALVE  Dia. 2"</t>
  </si>
  <si>
    <t>รวม 1.3</t>
  </si>
  <si>
    <t xml:space="preserve"> 1.4 งานระบบไฟฟ้า และสื่อสาร</t>
  </si>
  <si>
    <t>ดวงโคม</t>
  </si>
  <si>
    <t xml:space="preserve">สวิทช์ไฟฟ้าทางเดียว 10A,300V </t>
  </si>
  <si>
    <t xml:space="preserve"> - ชนิด 1S</t>
  </si>
  <si>
    <t xml:space="preserve"> - ชนิด 2S</t>
  </si>
  <si>
    <t xml:space="preserve"> - ชนิด 3S</t>
  </si>
  <si>
    <t xml:space="preserve"> - ชนิด 4S</t>
  </si>
  <si>
    <t xml:space="preserve"> - ชนิด 6S</t>
  </si>
  <si>
    <t>สาย THW.</t>
  </si>
  <si>
    <t xml:space="preserve"> - ขนาด 185 Sq.mm.</t>
  </si>
  <si>
    <t xml:space="preserve"> - ขนาด  95 Sq.mm.</t>
  </si>
  <si>
    <t xml:space="preserve"> - ขนาด  35 Sq.mm.</t>
  </si>
  <si>
    <t xml:space="preserve"> - ขนาด  16 Sq.mm.</t>
  </si>
  <si>
    <t xml:space="preserve"> - ขนาด    6 Sq.mm.</t>
  </si>
  <si>
    <t xml:space="preserve"> - ขนาด  2.5 Sq.mm.</t>
  </si>
  <si>
    <t>ท่อ IMC  Dia. 3 1/2"</t>
  </si>
  <si>
    <t xml:space="preserve">ท่อ EMT </t>
  </si>
  <si>
    <t>พัดลมดูดอากาศ  Dia.8"</t>
  </si>
  <si>
    <t xml:space="preserve"> 1.4.1 งานระบบไฟฟ้า </t>
  </si>
  <si>
    <t>รวม 1.4.1</t>
  </si>
  <si>
    <t xml:space="preserve"> 1.4.2 งานระบบป้องกันอันตรายจากฟ้าผ่า </t>
  </si>
  <si>
    <t xml:space="preserve">รวม 1.4.2 </t>
  </si>
  <si>
    <t xml:space="preserve"> 1.4.3 งานระบบโทรศัพท์</t>
  </si>
  <si>
    <t>รวม 1.4.3</t>
  </si>
  <si>
    <t xml:space="preserve"> 1.4.4 งานระบบการกระจายสัญญาณโทรทัศน์</t>
  </si>
  <si>
    <t>รวม 1.4.4</t>
  </si>
  <si>
    <t xml:space="preserve"> 1.4.5 งานระบบสัญญาณแจ้งเหตูเพลิงไหม้</t>
  </si>
  <si>
    <t>รวม 1.4.5</t>
  </si>
  <si>
    <t>ลิฟท์โดยสารน้ำหนักบรรทุกไม่น้อยกว่า 550 กก.</t>
  </si>
  <si>
    <t xml:space="preserve"> กลุ่มงานที่ 2</t>
  </si>
  <si>
    <t xml:space="preserve"> 2.1 งานครุภัณฑ์จัดจ้าง หรือสั่งทำ </t>
  </si>
  <si>
    <t>รวม 2.1</t>
  </si>
  <si>
    <r>
      <t>กลุ่มงานที่ 1</t>
    </r>
    <r>
      <rPr>
        <sz val="14"/>
        <color indexed="8"/>
        <rFont val="TH SarabunPSK"/>
        <family val="2"/>
      </rPr>
      <t xml:space="preserve"> </t>
    </r>
  </si>
  <si>
    <r>
      <t>กลุ่มงานที่ 2</t>
    </r>
    <r>
      <rPr>
        <sz val="14"/>
        <color indexed="8"/>
        <rFont val="TH SarabunPSK"/>
        <family val="2"/>
      </rPr>
      <t xml:space="preserve"> </t>
    </r>
  </si>
  <si>
    <r>
      <t>กลุ่มงานที่ 3</t>
    </r>
    <r>
      <rPr>
        <sz val="14"/>
        <color indexed="8"/>
        <rFont val="TH SarabunPSK"/>
        <family val="2"/>
      </rPr>
      <t xml:space="preserve"> </t>
    </r>
  </si>
  <si>
    <r>
      <t xml:space="preserve"> </t>
    </r>
    <r>
      <rPr>
        <sz val="14"/>
        <rFont val="TH SarabunPSK"/>
        <family val="2"/>
      </rPr>
      <t>(คิดในราคาเหมารวม ซึ่งรวมค่าใช้จ่ายและค่าภาษีไว้ด้วยแล้ว)</t>
    </r>
  </si>
  <si>
    <t>ตอกเข็ม คอร.</t>
  </si>
  <si>
    <t>งานโครงสร้างวิศวกรรม</t>
  </si>
  <si>
    <t>ส่วนที่ 1  ค่างานต้นทุน (คำนวณในราคาทุน)</t>
  </si>
  <si>
    <t>งานระบบสุขาภิบาล และดับเพลิง</t>
  </si>
  <si>
    <t>งานระบบลิฟท์ และบันไดเลื่อน</t>
  </si>
  <si>
    <t>งานระบบเครื่องกล และระบบพิเศษอื่นๆ</t>
  </si>
  <si>
    <t>งานตกแต่งภายในอาคาร</t>
  </si>
  <si>
    <t>งานครุภัณฑ์จัดจ้าง หรือสั่งทำ</t>
  </si>
  <si>
    <t>งานผังบริเวณ และงานก่อสร้างประกอบอื่นๆ</t>
  </si>
  <si>
    <t>ส่วนที่ 2  หมวดงานครุภัณฑ์จัดซื้อ หรือสั่งซื้อ</t>
  </si>
  <si>
    <t>งานครุภัณฑ์จัดซื้อ หรือสั่งซื้อ</t>
  </si>
  <si>
    <t xml:space="preserve">ส่วนที่ 3  ค่าใช้จ่ายพิเศษตามข้อกำหนดฯ (ถ้ามี) </t>
  </si>
  <si>
    <t>F2550 V.2.0</t>
  </si>
  <si>
    <t>ตารางคำนวณหาค่า Factor F งานก่อสร้างอาคาร</t>
  </si>
  <si>
    <t>ค่าFactor F</t>
  </si>
  <si>
    <t>FactorF</t>
  </si>
  <si>
    <t>www.yotathai.net</t>
  </si>
  <si>
    <t>ค่างานรวมค่า Factor F</t>
  </si>
  <si>
    <t>ค่างาน(ล้านบาท)</t>
  </si>
  <si>
    <t>ค่างานต่ำกว่า</t>
  </si>
  <si>
    <t>ตำแหน่งค่าต่ำ</t>
  </si>
  <si>
    <t>ตาราง Factor F งานก่อสร้างอาคาร ตามมติ ครม. 6 กุมพาพันธ์ 2550</t>
  </si>
  <si>
    <t>ตำแหน่งค่าสูง</t>
  </si>
  <si>
    <t>ค่างานสูงกว่า</t>
  </si>
  <si>
    <t xml:space="preserve">    เงินล่วงหน้าจ่าย</t>
  </si>
  <si>
    <t>ค่าFactor F ที่ได้</t>
  </si>
  <si>
    <t xml:space="preserve">    เงินประกันผลงานหัก</t>
  </si>
  <si>
    <t>ค่าภาษีมูลค่าเพิ่ม (VAT)</t>
  </si>
  <si>
    <t>ค่างาน
(ทุน)
ล้านบาท</t>
  </si>
  <si>
    <t>ค่าใช้จ่ายในการดำเนินงานก่อสร้าง (%)</t>
  </si>
  <si>
    <t>รวมในรูป
Factor</t>
  </si>
  <si>
    <t>ภาษีมูลค่าเพิ่ม
(VAT)</t>
  </si>
  <si>
    <t>ค่า
อำนวยการ</t>
  </si>
  <si>
    <t>ระยะเวลา
ก่อสร้าง</t>
  </si>
  <si>
    <t>ระยะเวลา
เบิกจ่ายเงิน</t>
  </si>
  <si>
    <t>เงิน
จ่ายล่วงหน้า</t>
  </si>
  <si>
    <t>เงิน
ประกันผลงาน</t>
  </si>
  <si>
    <t>ดอกเบี้ย
เงินกู้</t>
  </si>
  <si>
    <t>ค่า
ดอกเบี้ย</t>
  </si>
  <si>
    <t>ค่า
กำไร</t>
  </si>
  <si>
    <t>รวม
ค่าใช้จ่าย</t>
  </si>
  <si>
    <t xml:space="preserve"> ไม่เกิน  0.5</t>
  </si>
  <si>
    <t>เกิน 500</t>
  </si>
  <si>
    <t>-</t>
  </si>
  <si>
    <t xml:space="preserve">จำนวน  </t>
  </si>
  <si>
    <t>แผ่น</t>
  </si>
  <si>
    <t xml:space="preserve">จำนวนชั้น </t>
  </si>
  <si>
    <t>ราคาค่าก่อสร้างฐานรากชนิด</t>
  </si>
  <si>
    <t>ค่างานส่วนที่ 1 ค่างานต้นทุน (คำนวณในราคาทุน)</t>
  </si>
  <si>
    <r>
      <t xml:space="preserve">      ราคารวมค่าภาษีมูลค่าเพิ่ม (</t>
    </r>
    <r>
      <rPr>
        <b/>
        <sz val="14"/>
        <rFont val="TH SarabunPSK"/>
        <family val="2"/>
      </rPr>
      <t xml:space="preserve">VAT)  </t>
    </r>
  </si>
  <si>
    <t xml:space="preserve">ค่างานส่วนที่ 3  ค่าใช้จ่ายพิเศษตามข้อกำหนดฯ (ถ้ามี) </t>
  </si>
  <si>
    <t>คิดเป็นเงินทั้งสิ้นโดยประมาณ</t>
  </si>
  <si>
    <t>เสาเข็มเจาะ</t>
  </si>
  <si>
    <t>คอนกรีตโครงสร้าง 210 กก/ตร.ซม.(ทรงกระบอก)</t>
  </si>
  <si>
    <t xml:space="preserve">เหล็กเส้นกลม </t>
  </si>
  <si>
    <t>เหล็กข้ออ้อย</t>
  </si>
  <si>
    <t>ลบ.ม.</t>
  </si>
  <si>
    <t>ลบ.ฟ.</t>
  </si>
  <si>
    <t xml:space="preserve">พื้นปูกระเบื้องยางผิว P.V.C.ชนิดไม่ผสมใยหิน </t>
  </si>
  <si>
    <t>กระจกเงากรอบอลูมิเนียม ขนาด 0.80 x 0.90 ม.</t>
  </si>
  <si>
    <t>รางระบายน้ำ ค.ส.ล. พร้อมฝา ค.ส.ล.</t>
  </si>
  <si>
    <t>เหล็กเส้นกลม</t>
  </si>
  <si>
    <t>เคาน์เตอร์ ค.ส.ล.บุหินอ่อน มีบัว</t>
  </si>
  <si>
    <t>จมูกบันไดอลูมิเนียมฝังเส้น PVC. 3 เส้น</t>
  </si>
  <si>
    <t>ประมาณ 2 ซม.สูง 20 ซม.</t>
  </si>
  <si>
    <t>ตัวเลขแผ่นสแตนเลสความหนาของตัวเลข</t>
  </si>
  <si>
    <t>ท่อระบายน้ำล้น GSP CLASS B  Dia. 2 1/2"</t>
  </si>
  <si>
    <t>ราวบันได ST1 ท่อสแตนเลส  1-Dia 2" สูง 0.20 ม.</t>
  </si>
  <si>
    <t>ราวบันได ST2 ท่อเหล็กดำ  2-Dia 2" สูง 0.90 ม.</t>
  </si>
  <si>
    <t xml:space="preserve"> แฟลตพักแพทย์ 20 ยูนิต  (6ชั้น) </t>
  </si>
  <si>
    <t>อุปกรณ์ประกอบสาย</t>
  </si>
  <si>
    <t xml:space="preserve">หนาไม่น้อยกว่า 2 มม. </t>
  </si>
  <si>
    <t>โครงการก่อสร้าง</t>
  </si>
  <si>
    <t xml:space="preserve">ประมาณราคาเมื่อวันที่       เดือน          พ.ศ. </t>
  </si>
  <si>
    <t xml:space="preserve"> 1.5 งานระบบลิฟท์ และบันไดเลื่อน</t>
  </si>
  <si>
    <t>รวม 1.5</t>
  </si>
  <si>
    <t>STATIC LOAD TEST (รวมค่าเสาเข็มทดสอบ 1 ต้น)</t>
  </si>
  <si>
    <t>แบบหล่อคอนกรีต</t>
  </si>
  <si>
    <t xml:space="preserve"> - แบบหล่อ (ใช้ 50% ของทั้งหมด)</t>
  </si>
  <si>
    <t xml:space="preserve"> - คร่าวยึดแบบหล่อ</t>
  </si>
  <si>
    <t xml:space="preserve"> - ค่าแรงประกอบแบบหล่อคอนกรีต (คิด 100% )</t>
  </si>
  <si>
    <t>(ตัวอักษร)</t>
  </si>
  <si>
    <t>วงกบอลูมิเนียมอโนไดซ์สีบรอนซ์เงิน</t>
  </si>
  <si>
    <t>กระจกใสหนา 6 มม.</t>
  </si>
  <si>
    <t>กระจกตัดแสง 50% หนา 6 มม.</t>
  </si>
  <si>
    <t>พื้นสำเร็จรูปแผ่นเรียบท้องเรียบหนา 5 ซ.ม.</t>
  </si>
  <si>
    <t xml:space="preserve"> - LED.1x10 W.แบบเปลือยชนิดติดเพดาน</t>
  </si>
  <si>
    <t xml:space="preserve"> - LEDL.1x10 W.ครอบพลาสติกสีขาวขุ่นติดเพดาน</t>
  </si>
  <si>
    <t xml:space="preserve"> - LED.1x20 W.ครอบพลาสติกสีขาวขุ่นติดเพดาน</t>
  </si>
  <si>
    <t xml:space="preserve"> - LED.2x20 W.ครอบพลาสติกสีขาวขุ่นติดเพดาน</t>
  </si>
  <si>
    <t xml:space="preserve"> - LED.1x10 W.ครอบพลาสติกสีขาวขุ่นติดผนัง</t>
  </si>
  <si>
    <t xml:space="preserve"> -  FL 1x32 W.ครอบพลาสติกสีขาวขุ่นติดเพดาน</t>
  </si>
  <si>
    <t xml:space="preserve"> - LED.1x5 W.ครอบแก้วสีขาวขุ่นไฟกิ่งติดผนัง</t>
  </si>
  <si>
    <t xml:space="preserve"> - LED .1x5 W.ครอบแก้วสีขาวขุ่นไฟกิ่งติดผนัง</t>
  </si>
  <si>
    <t>ปรับราคาเมื่อเดือน</t>
  </si>
  <si>
    <t>ผนังก่ออิฐมอญครึ่งแผ่น</t>
  </si>
  <si>
    <t>ผนังก่ออิฐมอญเต็มแผ่น</t>
  </si>
  <si>
    <t xml:space="preserve">ข้อต่อท่อ และอุปกรณ์ยึดแขวนท่อ.ทดสอบ,ทาสี </t>
  </si>
  <si>
    <t>.</t>
  </si>
  <si>
    <t>ป้ายชื่อแสดงข้อมูลอาคาร</t>
  </si>
  <si>
    <t>ประตูบานสวิง ขนาด 0.90x2.00 ม. วงกบและ</t>
  </si>
  <si>
    <t>กรอบบานอลูมิเนียม พร้อมช่องแสงกระจกติดตาย</t>
  </si>
  <si>
    <t>กระจกหนา 6 มม.บริเวณห้องโถงชั้นล่าง</t>
  </si>
  <si>
    <t>ระบบคีการ์ดเข้า-ออกภายในอาคาร พร้อมการ์ด</t>
  </si>
  <si>
    <r>
      <t>FACTOR . F  ประเภทงานอาคาร</t>
    </r>
    <r>
      <rPr>
        <sz val="13"/>
        <rFont val="TH SarabunPSK"/>
        <family val="2"/>
      </rPr>
      <t xml:space="preserve">  เงื่อนไข  - เงินล่วงหน้าจ่าย  0%  , - เงินประกันผลงานหัก  0 % , - ดอกเบี้ยเงินกู้  6 %  , ค่าภาษีมูลค่าเพิ่ม  7 % </t>
    </r>
  </si>
  <si>
    <t>งานระบบป้องกันปลวกโดยวิธี</t>
  </si>
  <si>
    <t xml:space="preserve"> - ฉีดพ่นน้ำยาลงพื้นผิวดิน (ภายนอกอาคาร)</t>
  </si>
  <si>
    <t xml:space="preserve"> - อัดน้ำยาผ่านท่อที่วางไว้ (ภายในอาคาร)</t>
  </si>
  <si>
    <t xml:space="preserve">8440+ข.163/ส.ค./48 + </t>
  </si>
  <si>
    <t>เสาเข็มเจาะระบบแห้ง Dia. 0.50 ม.รับนน.</t>
  </si>
  <si>
    <t>ทดสอบความสมบูรณ์ของเสาเข็ม โดยวิธี</t>
  </si>
  <si>
    <t xml:space="preserve">Pilr  Integrity  Test </t>
  </si>
  <si>
    <t xml:space="preserve">พื้นปูกระเบื้องเซรามิคขนาด 8"x8" </t>
  </si>
  <si>
    <t xml:space="preserve">พื้นปูกระเบื้องดินเผาผิวด้านขนาด 4"x4" </t>
  </si>
  <si>
    <t xml:space="preserve">พื้นผิวขัดมันทำระบบกันซึมชนิดทา </t>
  </si>
  <si>
    <t xml:space="preserve">บัวเชิงผนังไม้เนื้อแข็ง 3/4" </t>
  </si>
  <si>
    <t>ป1. บานไม้อัดยางขนาด 0.90x2.00 ม</t>
  </si>
  <si>
    <t>ป2. บานไม้อัดยางขนาด 0.80x2.00 ม</t>
  </si>
  <si>
    <t>ป3. บานไม้อัดกันน้ำยางขนาด 0.80x2.00 ม</t>
  </si>
  <si>
    <t>ป4. บานไม้อัดกันน้ำยางขนาด 0.70x2.00 ม</t>
  </si>
  <si>
    <t>ป7. บานไม้อัดยางขนาด 0.80x1.45 ม</t>
  </si>
  <si>
    <t>ป8. บานไม้เนื้อแข็งขนาด 0.80x2.00 ม.</t>
  </si>
  <si>
    <t>ป9. บานไม้อัดยางชนิดทนน้ำขนาด2-0.40x2.00</t>
  </si>
  <si>
    <t>น1.(4 บาน)</t>
  </si>
  <si>
    <t>น2.(4 บาน)</t>
  </si>
  <si>
    <t>น3.(2 บาน)</t>
  </si>
  <si>
    <t>ปูนทรายผิวขัดมันสำหรับปูกระเบื้องยาง</t>
  </si>
  <si>
    <t>ผนังบุไม้แดง 1"x4"เข้าลิ้นตีทางตัวรอยต่อ</t>
  </si>
  <si>
    <t>เซาะร่อง V</t>
  </si>
  <si>
    <t>ทางลาด ค.ส.ล.หนา 10 ซ.ม. ผิวทรายล้างเซาะร่อง</t>
  </si>
  <si>
    <t>ระบบควบคุมเครื่องสูบน้ำ</t>
  </si>
  <si>
    <t>ผนังบุกระเบื้องเซรามิค 8"x8"</t>
  </si>
  <si>
    <t>(การ์ด 50 ใบ)</t>
  </si>
  <si>
    <t xml:space="preserve">โรงพยาบาลอรัญประเทศ    จังหวัดสระแก้ว </t>
  </si>
  <si>
    <t>ข.217/ก.ค./59</t>
  </si>
  <si>
    <r>
      <t xml:space="preserve">ราคาค่าแรงงานตามบัญชีค่าแรงงาน / ค่าดำเนินการ สำหรับถอดแบบคำนวนราคากลางงานก่อสร้าง   </t>
    </r>
    <r>
      <rPr>
        <b/>
        <sz val="14"/>
        <rFont val="TH SarabunPSK"/>
        <family val="2"/>
      </rPr>
      <t>เดือน ตุลาคม  2558</t>
    </r>
  </si>
  <si>
    <t xml:space="preserve"> ตุลาคม  2559 </t>
  </si>
  <si>
    <t>น4.</t>
  </si>
  <si>
    <t xml:space="preserve">น5. </t>
  </si>
  <si>
    <t xml:space="preserve">ขนาด 39 x 9 x 9 ซม. </t>
  </si>
  <si>
    <t xml:space="preserve">ผนังบล็อกคอนกรีต ชนิดกันฝนลิ้นเดี่ยว </t>
  </si>
  <si>
    <t>ขนาด 19 x 19 x 20 ซม.</t>
  </si>
  <si>
    <t xml:space="preserve">ผนังบล็อกคอนกรีต ชนิดกันฝนลิ้นคู่ </t>
  </si>
  <si>
    <t xml:space="preserve">โถส้วมนั่งราบ </t>
  </si>
  <si>
    <t>อ่างล้างหน้า พร้อมก๊อก</t>
  </si>
  <si>
    <t xml:space="preserve">ที่ใส่กระดาษ </t>
  </si>
  <si>
    <t>โถปัสสาวะชายเข้ามุม+ฟลัชวาวล์</t>
  </si>
  <si>
    <t xml:space="preserve">ที่ใส่สบู่ </t>
  </si>
  <si>
    <t xml:space="preserve">ก๊อกเตี้ย  </t>
  </si>
  <si>
    <t xml:space="preserve">ราวพาดผ้า </t>
  </si>
  <si>
    <t xml:space="preserve">ฝักบัวสายอ่อนและวาวล์ </t>
  </si>
  <si>
    <t xml:space="preserve">       ( ลงชื่อ ) .............................................ประธานกรรมการ</t>
  </si>
  <si>
    <t xml:space="preserve">       ( ลงชื่อ ) .............................................กรรมการ</t>
  </si>
  <si>
    <t xml:space="preserve">                   ( นายไพรรัชต์วิริต  วิริยะภัคพงศ์ ) </t>
  </si>
  <si>
    <t xml:space="preserve">             นักวิชาการสาธารณสุขชำนาญการพิเศษ</t>
  </si>
  <si>
    <t xml:space="preserve">                   ( นายสุรเชษฐ์  กัณหาสุระ ) </t>
  </si>
  <si>
    <t xml:space="preserve">       ( ลงชื่อ ) ............................................กรรมการ</t>
  </si>
  <si>
    <t xml:space="preserve">                    (  นายมานนท์  คำตัน  ) </t>
  </si>
  <si>
    <t xml:space="preserve">                    นายช่างโยธาปฏิบัติงาน</t>
  </si>
  <si>
    <t xml:space="preserve">                   ( นางจามจุรี  สมบัติวงษ์ ) </t>
  </si>
  <si>
    <t xml:space="preserve">             นักจัดการทั่วไปชำนาญการพิเศษ</t>
  </si>
  <si>
    <t xml:space="preserve">                    (  นายรุ่งนิรันดร์ คุ้มทอง ) </t>
  </si>
  <si>
    <t xml:space="preserve">                           นายช่างโยธา</t>
  </si>
  <si>
    <t xml:space="preserve">                       สถาปนิกปฏิบัติการ</t>
  </si>
  <si>
    <t xml:space="preserve">           (  นายรุ่งนิรันดร์ คุ้มทอง ) </t>
  </si>
  <si>
    <t xml:space="preserve">                 นายช่างโยธา</t>
  </si>
  <si>
    <t xml:space="preserve">         ( นายไพรรัชต์วิริต  วิริยะภัคพงศ์ )                                                         ( นางจามจุรี  สมบัติวงษ์ ) </t>
  </si>
  <si>
    <t xml:space="preserve">      นักวิชาการสาธารณสุขชำนาญการพิเศษ                                                 นักจัดการทั่วไปชำนาญการพิเศษ</t>
  </si>
  <si>
    <t xml:space="preserve"> ( ลงชื่อ ) ............................................กรรมการ</t>
  </si>
  <si>
    <t xml:space="preserve">            ( นายสุรเชษฐ์  กัณหาสุระ )                                                              (  นายมานนท์  คำตัน ) </t>
  </si>
  <si>
    <t>8440+ข.163/ส.ค./48  + ข.217/ก.ค./59</t>
  </si>
  <si>
    <t xml:space="preserve">                สถาปนิกปฏิบัติการ                                                                     นายช่างโยธาปฏิบัติงาน</t>
  </si>
  <si>
    <t>บัญชีแสดงรายละเอียดประมาณราคากลางค่าก่อสร้าง</t>
  </si>
  <si>
    <t xml:space="preserve">วันที่ประมาณราคา  ตุลาคม 2559  </t>
  </si>
  <si>
    <t xml:space="preserve"> คณะกรรมการกำหนดราคากลาง</t>
  </si>
  <si>
    <t>2366 ตร.ม.</t>
  </si>
  <si>
    <t>6 ชั้น</t>
  </si>
  <si>
    <t xml:space="preserve">ปลอดภัยไม่น้อยกว่า 60 ตัน/ต้น ยาว 10.00 ม </t>
  </si>
  <si>
    <t>กันยายน</t>
  </si>
  <si>
    <t>ค่างานส่วนที่ 2 หมวดงานครุภัณฑ์จัดซื้อ หรือสั่งซื้อ</t>
  </si>
  <si>
    <t>ราคาค่าวัสดุ สำนักดัชนีเศรษฐกิจการค้า  กระทรวงพาณิชย์  สระแก้ว  ประจำเดือน</t>
  </si>
  <si>
    <t xml:space="preserve">  ( ลงชื่อ ) .............................................ประธานกรรมการ                         ( ลงชื่อ ) ..................................................กรรมการ</t>
  </si>
  <si>
    <t xml:space="preserve"> ( ลงชื่อ ) .............................................กรรมการ                                    ( ลงชื่อ ) .................................................กรรมการ</t>
  </si>
  <si>
    <t>หลักเกณฑ์การกำหนดราคากลางงานก่อสร้าง หนังสือกรมบัญชีกลาง กค.0405.3 / ว.364 ลว.  15  กันยายน 2559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</si>
</sst>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000"/>
    <numFmt numFmtId="190" formatCode="#,##0.0"/>
    <numFmt numFmtId="191" formatCode="0.0"/>
    <numFmt numFmtId="192" formatCode="General_)"/>
    <numFmt numFmtId="193" formatCode="0_)"/>
    <numFmt numFmtId="194" formatCode="#,##0.000"/>
    <numFmt numFmtId="195" formatCode="0.0_)"/>
    <numFmt numFmtId="196" formatCode="0.000"/>
    <numFmt numFmtId="197" formatCode="0.00_)"/>
    <numFmt numFmtId="198" formatCode="#,##0.00000_);[Red]\(#,##0.00000\)"/>
    <numFmt numFmtId="199" formatCode="0.000_)"/>
    <numFmt numFmtId="200" formatCode="#,##0.0_);[Red]\(#,##0.0\)"/>
    <numFmt numFmtId="201" formatCode="_(* #,##0.0_);_(* \(#,##0.0\);_(* &quot;-&quot;??_);_(@_)"/>
    <numFmt numFmtId="202" formatCode="_(* #,##0_);_(* \(#,##0\);_(* &quot;-&quot;??_);_(@_)"/>
    <numFmt numFmtId="203" formatCode="#,##0.0_);\(#,##0.0\)"/>
    <numFmt numFmtId="204" formatCode="0.0000"/>
    <numFmt numFmtId="205" formatCode="#,##0.000_);[Red]\(#,##0.000\)"/>
    <numFmt numFmtId="206" formatCode="#,##0.0;\-#,##0.0"/>
    <numFmt numFmtId="207" formatCode="_-* #,##0_-;\-* #,##0_-;_-* &quot;-&quot;??_-;_-@_-"/>
    <numFmt numFmtId="208" formatCode="_(&quot;฿&quot;* #,##0_);_(&quot;฿&quot;* \(#,##0\);_(&quot;฿&quot;* &quot;-&quot;_);_(@_)"/>
    <numFmt numFmtId="209" formatCode="_(* #,##0_);_(* \(#,##0\);_(* &quot;-&quot;_);_(@_)"/>
    <numFmt numFmtId="210" formatCode="_(&quot;฿&quot;* #,##0.00_);_(&quot;฿&quot;* \(#,##0.00\);_(&quot;฿&quot;* &quot;-&quot;??_);_(@_)"/>
    <numFmt numFmtId="211" formatCode="_(* #,##0.00_);_(* \(#,##0.00\);_(* &quot;-&quot;??_);_(@_)"/>
    <numFmt numFmtId="212" formatCode="_(* #,##0.000_);_(* \(#,##0.000\);_(* &quot;-&quot;??_);_(@_)"/>
    <numFmt numFmtId="213" formatCode="_-* #,##0.000_-;\-* #,##0.000_-;_-* &quot;-&quot;??_-;_-@_-"/>
    <numFmt numFmtId="214" formatCode="#,##0\ \ "/>
    <numFmt numFmtId="215" formatCode="_-* #,##0.0_-;\-* #,##0.0_-;_-* &quot;-&quot;??_-;_-@_-"/>
    <numFmt numFmtId="216" formatCode="_-* #,##0.0000_-;\-* #,##0.0000_-;_-* &quot;-&quot;????_-;_-@_-"/>
    <numFmt numFmtId="217" formatCode="#,##0.0000_);[Red]\(#,##0.0000\)"/>
    <numFmt numFmtId="218" formatCode="#,##0.0000"/>
    <numFmt numFmtId="219" formatCode="#,##0.00000"/>
    <numFmt numFmtId="220" formatCode="#,##0.0000;[Red]\-#,##0.0000"/>
    <numFmt numFmtId="221" formatCode="#,##0.0;[Red]\-#,##0.0"/>
    <numFmt numFmtId="222" formatCode="_-* #,##0.0000_-;\-* #,##0.0000_-;_-* &quot;-&quot;??_-;_-@_-"/>
    <numFmt numFmtId="223" formatCode="_-* #,##0.00000_-;\-* #,##0.00000_-;_-* &quot;-&quot;??_-;_-@_-"/>
    <numFmt numFmtId="224" formatCode="_(* #,##0.0000_);_(* \(#,##0.0000\);_(* &quot;-&quot;??_);_(@_)"/>
    <numFmt numFmtId="225" formatCode="_(* #,##0.000000_);_(* \(#,##0.000000\);_(* &quot;-&quot;??_);_(@_)"/>
    <numFmt numFmtId="226" formatCode="&quot;\&quot;#,##0;[Red]&quot;\&quot;\-#,##0"/>
    <numFmt numFmtId="227" formatCode="_ * #,##0.00_ ;_ * \-#,##0.00_ ;_ * &quot;-&quot;??_ ;_ @_ "/>
    <numFmt numFmtId="228" formatCode="_ * #,##0_ ;_ * \-#,##0_ ;_ * &quot;-&quot;_ ;_ @_ "/>
    <numFmt numFmtId="229" formatCode="&quot;฿&quot;t#,##0_);\(&quot;฿&quot;t#,##0\)"/>
    <numFmt numFmtId="230" formatCode="t0.00E+00"/>
    <numFmt numFmtId="231" formatCode="\ว\ว/\ด\ด/\ป\ป"/>
    <numFmt numFmtId="232" formatCode="0.0&quot;  &quot;"/>
    <numFmt numFmtId="233" formatCode="#,##0\ &quot;F&quot;;[Red]\-#,##0\ &quot;F&quot;"/>
    <numFmt numFmtId="234" formatCode="&quot;฿&quot;\t#,##0_);\(&quot;฿&quot;\t#,##0\)"/>
    <numFmt numFmtId="235" formatCode="dd\-mmm\-yy_)"/>
    <numFmt numFmtId="236" formatCode="#,##0.00_ ;[Red]\-#,##0.00\ "/>
  </numFmts>
  <fonts count="72">
    <font>
      <sz val="12"/>
      <name val="Eucrosi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4"/>
      <name val="AngsanaUPC"/>
      <family val="1"/>
    </font>
    <font>
      <u val="single"/>
      <sz val="12"/>
      <color indexed="12"/>
      <name val="EucrosiaUPC"/>
      <family val="1"/>
    </font>
    <font>
      <u val="single"/>
      <sz val="12"/>
      <color indexed="36"/>
      <name val="Eucrosi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12"/>
      <color indexed="8"/>
      <name val="TH SarabunPSK"/>
      <family val="2"/>
    </font>
    <font>
      <sz val="13"/>
      <color indexed="8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6"/>
      <name val="TH SarabunPSK"/>
      <family val="2"/>
    </font>
    <font>
      <u val="single"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0"/>
      <name val="Arial"/>
      <family val="2"/>
    </font>
    <font>
      <sz val="14"/>
      <color indexed="43"/>
      <name val="BrowalliaUPC"/>
      <family val="2"/>
    </font>
    <font>
      <sz val="14"/>
      <name val="BrowalliaUPC"/>
      <family val="2"/>
    </font>
    <font>
      <sz val="14"/>
      <color indexed="9"/>
      <name val="BrowalliaUPC"/>
      <family val="2"/>
    </font>
    <font>
      <b/>
      <sz val="14"/>
      <name val="BrowalliaUPC"/>
      <family val="2"/>
    </font>
    <font>
      <sz val="14"/>
      <color indexed="10"/>
      <name val="BrowalliaUPC"/>
      <family val="2"/>
    </font>
    <font>
      <u val="single"/>
      <sz val="10"/>
      <color indexed="12"/>
      <name val="Arial"/>
      <family val="2"/>
    </font>
    <font>
      <sz val="14"/>
      <color indexed="12"/>
      <name val="BrowalliaUPC"/>
      <family val="2"/>
    </font>
    <font>
      <sz val="14"/>
      <color indexed="8"/>
      <name val="BrowalliaUPC"/>
      <family val="2"/>
    </font>
    <font>
      <sz val="14"/>
      <name val="SV Rojchana"/>
      <family val="0"/>
    </font>
    <font>
      <sz val="11"/>
      <name val="?? ?????"/>
      <family val="3"/>
    </font>
    <font>
      <sz val="10"/>
      <name val="Helv"/>
      <family val="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4"/>
      <name val="Cordia New"/>
      <family val="3"/>
    </font>
    <font>
      <sz val="8"/>
      <name val="EucrosiaUPC"/>
      <family val="1"/>
    </font>
    <font>
      <b/>
      <sz val="13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b/>
      <sz val="18"/>
      <color indexed="8"/>
      <name val="TH SarabunPSK"/>
      <family val="2"/>
    </font>
    <font>
      <b/>
      <sz val="13"/>
      <color indexed="8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sz val="14"/>
      <color rgb="FFFF000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>
        <color indexed="63"/>
      </right>
      <top style="hair"/>
      <bottom style="thin"/>
    </border>
  </borders>
  <cellStyleXfs count="1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>
      <alignment vertical="center"/>
      <protection/>
    </xf>
    <xf numFmtId="226" fontId="47" fillId="0" borderId="0" applyFont="0" applyFill="0" applyBorder="0" applyAlignment="0" applyProtection="0"/>
    <xf numFmtId="227" fontId="37" fillId="0" borderId="0" applyFont="0" applyFill="0" applyBorder="0" applyAlignment="0" applyProtection="0"/>
    <xf numFmtId="228" fontId="37" fillId="0" borderId="0" applyFont="0" applyFill="0" applyBorder="0" applyAlignment="0" applyProtection="0"/>
    <xf numFmtId="4" fontId="48" fillId="0" borderId="0" applyFont="0" applyFill="0" applyBorder="0" applyAlignment="0" applyProtection="0"/>
    <xf numFmtId="229" fontId="49" fillId="0" borderId="0" applyFont="0" applyFill="0" applyBorder="0" applyAlignment="0" applyProtection="0"/>
    <xf numFmtId="230" fontId="49" fillId="0" borderId="0" applyFont="0" applyFill="0" applyBorder="0" applyAlignment="0" applyProtection="0"/>
    <xf numFmtId="228" fontId="37" fillId="0" borderId="0" applyFon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9" fontId="37" fillId="2" borderId="0">
      <alignment/>
      <protection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37" fillId="0" borderId="0" applyFill="0" applyBorder="0" applyAlignment="0">
      <protection/>
    </xf>
    <xf numFmtId="203" fontId="48" fillId="0" borderId="0" applyFill="0" applyBorder="0" applyAlignment="0">
      <protection/>
    </xf>
    <xf numFmtId="0" fontId="52" fillId="0" borderId="0" applyFill="0" applyBorder="0" applyAlignment="0">
      <protection/>
    </xf>
    <xf numFmtId="0" fontId="53" fillId="0" borderId="0" applyFill="0" applyBorder="0" applyAlignment="0">
      <protection/>
    </xf>
    <xf numFmtId="0" fontId="53" fillId="0" borderId="0" applyFill="0" applyBorder="0" applyAlignment="0">
      <protection/>
    </xf>
    <xf numFmtId="231" fontId="49" fillId="0" borderId="0" applyFill="0" applyBorder="0" applyAlignment="0">
      <protection/>
    </xf>
    <xf numFmtId="232" fontId="49" fillId="0" borderId="0" applyFill="0" applyBorder="0" applyAlignment="0">
      <protection/>
    </xf>
    <xf numFmtId="203" fontId="48" fillId="0" borderId="0" applyFill="0" applyBorder="0" applyAlignment="0">
      <protection/>
    </xf>
    <xf numFmtId="0" fontId="16" fillId="17" borderId="1" applyNumberFormat="0" applyAlignment="0" applyProtection="0"/>
    <xf numFmtId="0" fontId="18" fillId="1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31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3" fontId="48" fillId="0" borderId="0" applyFont="0" applyFill="0" applyBorder="0" applyAlignment="0" applyProtection="0"/>
    <xf numFmtId="15" fontId="54" fillId="0" borderId="0">
      <alignment/>
      <protection/>
    </xf>
    <xf numFmtId="14" fontId="55" fillId="0" borderId="0" applyFill="0" applyBorder="0" applyAlignment="0">
      <protection/>
    </xf>
    <xf numFmtId="15" fontId="54" fillId="0" borderId="0">
      <alignment/>
      <protection/>
    </xf>
    <xf numFmtId="231" fontId="49" fillId="0" borderId="0" applyFill="0" applyBorder="0" applyAlignment="0">
      <protection/>
    </xf>
    <xf numFmtId="203" fontId="48" fillId="0" borderId="0" applyFill="0" applyBorder="0" applyAlignment="0">
      <protection/>
    </xf>
    <xf numFmtId="231" fontId="49" fillId="0" borderId="0" applyFill="0" applyBorder="0" applyAlignment="0">
      <protection/>
    </xf>
    <xf numFmtId="232" fontId="49" fillId="0" borderId="0" applyFill="0" applyBorder="0" applyAlignment="0">
      <protection/>
    </xf>
    <xf numFmtId="203" fontId="48" fillId="0" borderId="0" applyFill="0" applyBorder="0" applyAlignment="0">
      <protection/>
    </xf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7" borderId="0" applyNumberFormat="0" applyBorder="0" applyAlignment="0" applyProtection="0"/>
    <xf numFmtId="38" fontId="56" fillId="19" borderId="0" applyNumberFormat="0" applyBorder="0" applyAlignment="0" applyProtection="0"/>
    <xf numFmtId="0" fontId="57" fillId="0" borderId="3" applyNumberFormat="0" applyAlignment="0" applyProtection="0"/>
    <xf numFmtId="0" fontId="57" fillId="0" borderId="4">
      <alignment horizontal="left" vertical="center"/>
      <protection/>
    </xf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8" borderId="1" applyNumberFormat="0" applyAlignment="0" applyProtection="0"/>
    <xf numFmtId="10" fontId="56" fillId="5" borderId="8" applyNumberFormat="0" applyBorder="0" applyAlignment="0" applyProtection="0"/>
    <xf numFmtId="231" fontId="49" fillId="0" borderId="0" applyFill="0" applyBorder="0" applyAlignment="0">
      <protection/>
    </xf>
    <xf numFmtId="203" fontId="48" fillId="0" borderId="0" applyFill="0" applyBorder="0" applyAlignment="0">
      <protection/>
    </xf>
    <xf numFmtId="231" fontId="49" fillId="0" borderId="0" applyFill="0" applyBorder="0" applyAlignment="0">
      <protection/>
    </xf>
    <xf numFmtId="232" fontId="49" fillId="0" borderId="0" applyFill="0" applyBorder="0" applyAlignment="0">
      <protection/>
    </xf>
    <xf numFmtId="203" fontId="48" fillId="0" borderId="0" applyFill="0" applyBorder="0" applyAlignment="0">
      <protection/>
    </xf>
    <xf numFmtId="0" fontId="17" fillId="0" borderId="9" applyNumberFormat="0" applyFill="0" applyAlignment="0" applyProtection="0"/>
    <xf numFmtId="0" fontId="13" fillId="8" borderId="0" applyNumberFormat="0" applyBorder="0" applyAlignment="0" applyProtection="0"/>
    <xf numFmtId="0" fontId="58" fillId="0" borderId="0">
      <alignment/>
      <protection/>
    </xf>
    <xf numFmtId="233" fontId="5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0" applyNumberFormat="0" applyFont="0" applyAlignment="0" applyProtection="0"/>
    <xf numFmtId="0" fontId="15" fillId="17" borderId="11" applyNumberFormat="0" applyAlignment="0" applyProtection="0"/>
    <xf numFmtId="0" fontId="59" fillId="0" borderId="0" applyFont="0" applyFill="0" applyBorder="0" applyAlignment="0" applyProtection="0"/>
    <xf numFmtId="231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0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231" fontId="49" fillId="0" borderId="0" applyFill="0" applyBorder="0" applyAlignment="0">
      <protection/>
    </xf>
    <xf numFmtId="203" fontId="48" fillId="0" borderId="0" applyFill="0" applyBorder="0" applyAlignment="0">
      <protection/>
    </xf>
    <xf numFmtId="231" fontId="49" fillId="0" borderId="0" applyFill="0" applyBorder="0" applyAlignment="0">
      <protection/>
    </xf>
    <xf numFmtId="232" fontId="49" fillId="0" borderId="0" applyFill="0" applyBorder="0" applyAlignment="0">
      <protection/>
    </xf>
    <xf numFmtId="203" fontId="48" fillId="0" borderId="0" applyFill="0" applyBorder="0" applyAlignment="0">
      <protection/>
    </xf>
    <xf numFmtId="0" fontId="37" fillId="0" borderId="0">
      <alignment/>
      <protection/>
    </xf>
    <xf numFmtId="49" fontId="55" fillId="0" borderId="0" applyFill="0" applyBorder="0" applyAlignment="0">
      <protection/>
    </xf>
    <xf numFmtId="0" fontId="53" fillId="0" borderId="0" applyFill="0" applyBorder="0" applyAlignment="0">
      <protection/>
    </xf>
    <xf numFmtId="0" fontId="53" fillId="0" borderId="0" applyFill="0" applyBorder="0" applyAlignment="0">
      <protection/>
    </xf>
    <xf numFmtId="0" fontId="7" fillId="0" borderId="0" applyNumberFormat="0" applyFill="0" applyBorder="0" applyAlignment="0" applyProtection="0"/>
    <xf numFmtId="0" fontId="20" fillId="0" borderId="12" applyNumberFormat="0" applyFill="0" applyAlignment="0" applyProtection="0"/>
    <xf numFmtId="234" fontId="49" fillId="0" borderId="0" applyFont="0" applyFill="0" applyBorder="0" applyAlignment="0" applyProtection="0"/>
    <xf numFmtId="235" fontId="4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17" borderId="1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1" fontId="4" fillId="0" borderId="0" applyFont="0" applyFill="0" applyBorder="0" applyAlignment="0" applyProtection="0"/>
    <xf numFmtId="211" fontId="37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8" borderId="2" applyNumberFormat="0" applyAlignment="0" applyProtection="0"/>
    <xf numFmtId="0" fontId="17" fillId="0" borderId="9" applyNumberFormat="0" applyFill="0" applyAlignment="0" applyProtection="0"/>
    <xf numFmtId="0" fontId="1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8" borderId="1" applyNumberFormat="0" applyAlignment="0" applyProtection="0"/>
    <xf numFmtId="0" fontId="13" fillId="8" borderId="0" applyNumberFormat="0" applyBorder="0" applyAlignment="0" applyProtection="0"/>
    <xf numFmtId="0" fontId="20" fillId="0" borderId="12" applyNumberFormat="0" applyFill="0" applyAlignment="0" applyProtection="0"/>
    <xf numFmtId="0" fontId="12" fillId="16" borderId="0" applyNumberFormat="0" applyBorder="0" applyAlignment="0" applyProtection="0"/>
    <xf numFmtId="0" fontId="37" fillId="0" borderId="0">
      <alignment/>
      <protection/>
    </xf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7" borderId="11" applyNumberFormat="0" applyAlignment="0" applyProtection="0"/>
    <xf numFmtId="0" fontId="4" fillId="5" borderId="10" applyNumberFormat="0" applyFon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Continuous" vertical="center"/>
    </xf>
    <xf numFmtId="0" fontId="4" fillId="0" borderId="19" xfId="0" applyFont="1" applyBorder="1" applyAlignment="1">
      <alignment horizontal="centerContinuous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20" xfId="0" applyFont="1" applyBorder="1" applyAlignment="1" quotePrefix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horizontal="left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4" fontId="4" fillId="0" borderId="14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24" xfId="0" applyFont="1" applyBorder="1" applyAlignment="1" quotePrefix="1">
      <alignment horizontal="left" vertical="center"/>
    </xf>
    <xf numFmtId="4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96" fontId="4" fillId="0" borderId="24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191" fontId="4" fillId="0" borderId="27" xfId="0" applyNumberFormat="1" applyFont="1" applyBorder="1" applyAlignment="1">
      <alignment vertical="center"/>
    </xf>
    <xf numFmtId="2" fontId="4" fillId="0" borderId="27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20" xfId="0" applyNumberFormat="1" applyFont="1" applyBorder="1" applyAlignment="1" quotePrefix="1">
      <alignment vertical="center"/>
    </xf>
    <xf numFmtId="4" fontId="4" fillId="0" borderId="20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Continuous" vertical="center"/>
    </xf>
    <xf numFmtId="0" fontId="27" fillId="0" borderId="16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Continuous" vertical="center"/>
      <protection locked="0"/>
    </xf>
    <xf numFmtId="0" fontId="27" fillId="0" borderId="15" xfId="0" applyFont="1" applyBorder="1" applyAlignment="1" applyProtection="1">
      <alignment horizontal="centerContinuous" vertical="center"/>
      <protection locked="0"/>
    </xf>
    <xf numFmtId="0" fontId="27" fillId="0" borderId="14" xfId="0" applyFont="1" applyBorder="1" applyAlignment="1" applyProtection="1" quotePrefix="1">
      <alignment horizontal="centerContinuous" vertical="center"/>
      <protection locked="0"/>
    </xf>
    <xf numFmtId="0" fontId="27" fillId="0" borderId="15" xfId="0" applyFont="1" applyBorder="1" applyAlignment="1">
      <alignment horizontal="centerContinuous" vertical="center"/>
    </xf>
    <xf numFmtId="0" fontId="27" fillId="0" borderId="15" xfId="0" applyFont="1" applyBorder="1" applyAlignment="1">
      <alignment horizontal="center" vertical="center"/>
    </xf>
    <xf numFmtId="0" fontId="33" fillId="0" borderId="0" xfId="165" applyFont="1" applyFill="1" applyAlignment="1">
      <alignment vertical="center"/>
      <protection/>
    </xf>
    <xf numFmtId="0" fontId="27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0" fontId="27" fillId="0" borderId="28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3" fontId="27" fillId="0" borderId="0" xfId="0" applyNumberFormat="1" applyFont="1" applyBorder="1" applyAlignment="1">
      <alignment vertical="center"/>
    </xf>
    <xf numFmtId="0" fontId="27" fillId="0" borderId="28" xfId="0" applyFont="1" applyBorder="1" applyAlignment="1">
      <alignment horizontal="left" vertical="center"/>
    </xf>
    <xf numFmtId="3" fontId="27" fillId="0" borderId="0" xfId="0" applyNumberFormat="1" applyFont="1" applyBorder="1" applyAlignment="1" quotePrefix="1">
      <alignment horizontal="left" vertical="center"/>
    </xf>
    <xf numFmtId="3" fontId="27" fillId="0" borderId="0" xfId="0" applyNumberFormat="1" applyFont="1" applyBorder="1" applyAlignment="1">
      <alignment horizontal="right" vertical="center"/>
    </xf>
    <xf numFmtId="0" fontId="27" fillId="0" borderId="17" xfId="0" applyFont="1" applyBorder="1" applyAlignment="1">
      <alignment horizontal="center" vertical="center"/>
    </xf>
    <xf numFmtId="0" fontId="27" fillId="0" borderId="23" xfId="0" applyFont="1" applyBorder="1" applyAlignment="1">
      <alignment vertical="center"/>
    </xf>
    <xf numFmtId="0" fontId="27" fillId="0" borderId="29" xfId="0" applyFont="1" applyBorder="1" applyAlignment="1" quotePrefix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9" xfId="0" applyFont="1" applyBorder="1" applyAlignment="1">
      <alignment horizontal="right" vertical="center"/>
    </xf>
    <xf numFmtId="195" fontId="27" fillId="0" borderId="24" xfId="0" applyNumberFormat="1" applyFont="1" applyBorder="1" applyAlignment="1" applyProtection="1">
      <alignment vertical="center"/>
      <protection/>
    </xf>
    <xf numFmtId="0" fontId="27" fillId="0" borderId="25" xfId="0" applyFont="1" applyBorder="1" applyAlignment="1">
      <alignment horizontal="centerContinuous" vertical="center"/>
    </xf>
    <xf numFmtId="0" fontId="27" fillId="0" borderId="24" xfId="0" applyFont="1" applyBorder="1" applyAlignment="1">
      <alignment vertical="center"/>
    </xf>
    <xf numFmtId="3" fontId="27" fillId="0" borderId="25" xfId="0" applyNumberFormat="1" applyFont="1" applyBorder="1" applyAlignment="1">
      <alignment vertical="center"/>
    </xf>
    <xf numFmtId="3" fontId="27" fillId="0" borderId="27" xfId="0" applyNumberFormat="1" applyFont="1" applyBorder="1" applyAlignment="1">
      <alignment vertical="center"/>
    </xf>
    <xf numFmtId="3" fontId="27" fillId="0" borderId="24" xfId="0" applyNumberFormat="1" applyFont="1" applyBorder="1" applyAlignment="1">
      <alignment horizontal="right" vertical="center"/>
    </xf>
    <xf numFmtId="3" fontId="27" fillId="0" borderId="24" xfId="0" applyNumberFormat="1" applyFont="1" applyBorder="1" applyAlignment="1">
      <alignment vertical="center"/>
    </xf>
    <xf numFmtId="0" fontId="27" fillId="0" borderId="24" xfId="0" applyFont="1" applyBorder="1" applyAlignment="1" applyProtection="1">
      <alignment horizontal="center" vertical="center"/>
      <protection/>
    </xf>
    <xf numFmtId="0" fontId="27" fillId="0" borderId="27" xfId="0" applyFont="1" applyBorder="1" applyAlignment="1" applyProtection="1">
      <alignment horizontal="left" vertical="center"/>
      <protection/>
    </xf>
    <xf numFmtId="0" fontId="27" fillId="0" borderId="25" xfId="0" applyFont="1" applyBorder="1" applyAlignment="1">
      <alignment horizontal="left" vertical="center"/>
    </xf>
    <xf numFmtId="37" fontId="27" fillId="0" borderId="24" xfId="0" applyNumberFormat="1" applyFont="1" applyBorder="1" applyAlignment="1" applyProtection="1">
      <alignment vertical="center"/>
      <protection/>
    </xf>
    <xf numFmtId="38" fontId="27" fillId="0" borderId="0" xfId="81" applyNumberFormat="1" applyFont="1" applyAlignment="1">
      <alignment vertical="center"/>
    </xf>
    <xf numFmtId="0" fontId="23" fillId="0" borderId="27" xfId="0" applyFont="1" applyBorder="1" applyAlignment="1" applyProtection="1">
      <alignment horizontal="left" vertical="center"/>
      <protection/>
    </xf>
    <xf numFmtId="0" fontId="23" fillId="0" borderId="26" xfId="0" applyFont="1" applyBorder="1" applyAlignment="1" applyProtection="1">
      <alignment horizontal="left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7" fillId="17" borderId="30" xfId="0" applyFont="1" applyFill="1" applyBorder="1" applyAlignment="1">
      <alignment horizontal="left" vertical="center"/>
    </xf>
    <xf numFmtId="0" fontId="27" fillId="0" borderId="27" xfId="0" applyFont="1" applyBorder="1" applyAlignment="1" applyProtection="1" quotePrefix="1">
      <alignment horizontal="left" vertical="center"/>
      <protection/>
    </xf>
    <xf numFmtId="0" fontId="27" fillId="0" borderId="27" xfId="0" applyFont="1" applyBorder="1" applyAlignment="1">
      <alignment vertical="center"/>
    </xf>
    <xf numFmtId="37" fontId="27" fillId="0" borderId="24" xfId="0" applyNumberFormat="1" applyFont="1" applyBorder="1" applyAlignment="1" applyProtection="1">
      <alignment horizontal="left" vertical="center"/>
      <protection/>
    </xf>
    <xf numFmtId="0" fontId="30" fillId="0" borderId="27" xfId="0" applyFont="1" applyBorder="1" applyAlignment="1" applyProtection="1" quotePrefix="1">
      <alignment horizontal="center" vertical="center"/>
      <protection/>
    </xf>
    <xf numFmtId="0" fontId="30" fillId="0" borderId="24" xfId="0" applyFont="1" applyBorder="1" applyAlignment="1">
      <alignment vertical="center"/>
    </xf>
    <xf numFmtId="37" fontId="30" fillId="0" borderId="24" xfId="0" applyNumberFormat="1" applyFont="1" applyBorder="1" applyAlignment="1" applyProtection="1">
      <alignment vertical="center"/>
      <protection/>
    </xf>
    <xf numFmtId="0" fontId="30" fillId="0" borderId="25" xfId="0" applyFont="1" applyBorder="1" applyAlignment="1" applyProtection="1" quotePrefix="1">
      <alignment horizontal="center" vertical="center"/>
      <protection/>
    </xf>
    <xf numFmtId="0" fontId="30" fillId="0" borderId="31" xfId="0" applyFont="1" applyBorder="1" applyAlignment="1">
      <alignment vertical="center"/>
    </xf>
    <xf numFmtId="37" fontId="30" fillId="0" borderId="31" xfId="0" applyNumberFormat="1" applyFont="1" applyBorder="1" applyAlignment="1" applyProtection="1">
      <alignment vertical="center"/>
      <protection/>
    </xf>
    <xf numFmtId="0" fontId="27" fillId="0" borderId="25" xfId="82" applyNumberFormat="1" applyFont="1" applyBorder="1" applyAlignment="1" applyProtection="1">
      <alignment horizontal="left" vertical="center"/>
      <protection/>
    </xf>
    <xf numFmtId="0" fontId="27" fillId="0" borderId="26" xfId="82" applyNumberFormat="1" applyFont="1" applyBorder="1" applyAlignment="1" applyProtection="1">
      <alignment horizontal="left" vertical="center"/>
      <protection/>
    </xf>
    <xf numFmtId="0" fontId="27" fillId="0" borderId="24" xfId="82" applyNumberFormat="1" applyFont="1" applyBorder="1" applyAlignment="1" applyProtection="1">
      <alignment horizontal="center" vertical="center"/>
      <protection/>
    </xf>
    <xf numFmtId="3" fontId="27" fillId="0" borderId="24" xfId="82" applyNumberFormat="1" applyFont="1" applyBorder="1" applyAlignment="1" applyProtection="1">
      <alignment vertical="center"/>
      <protection/>
    </xf>
    <xf numFmtId="3" fontId="27" fillId="0" borderId="26" xfId="82" applyNumberFormat="1" applyFont="1" applyBorder="1" applyAlignment="1" applyProtection="1">
      <alignment vertical="center"/>
      <protection/>
    </xf>
    <xf numFmtId="0" fontId="27" fillId="0" borderId="28" xfId="0" applyFont="1" applyBorder="1" applyAlignment="1">
      <alignment horizontal="centerContinuous" vertical="center"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30" fillId="0" borderId="27" xfId="0" applyFont="1" applyBorder="1" applyAlignment="1" applyProtection="1">
      <alignment horizontal="center" vertical="center"/>
      <protection/>
    </xf>
    <xf numFmtId="37" fontId="27" fillId="0" borderId="24" xfId="0" applyNumberFormat="1" applyFont="1" applyBorder="1" applyAlignment="1" applyProtection="1">
      <alignment horizontal="right" vertical="center"/>
      <protection/>
    </xf>
    <xf numFmtId="192" fontId="27" fillId="0" borderId="24" xfId="0" applyNumberFormat="1" applyFont="1" applyBorder="1" applyAlignment="1" applyProtection="1">
      <alignment vertical="center"/>
      <protection/>
    </xf>
    <xf numFmtId="0" fontId="27" fillId="0" borderId="25" xfId="0" applyFont="1" applyBorder="1" applyAlignment="1">
      <alignment vertical="center"/>
    </xf>
    <xf numFmtId="0" fontId="27" fillId="0" borderId="31" xfId="0" applyFont="1" applyBorder="1" applyAlignment="1">
      <alignment horizontal="center" vertical="center"/>
    </xf>
    <xf numFmtId="0" fontId="30" fillId="0" borderId="24" xfId="0" applyFont="1" applyBorder="1" applyAlignment="1" applyProtection="1">
      <alignment horizontal="center" vertical="center"/>
      <protection/>
    </xf>
    <xf numFmtId="192" fontId="30" fillId="0" borderId="24" xfId="0" applyNumberFormat="1" applyFont="1" applyBorder="1" applyAlignment="1" applyProtection="1">
      <alignment vertical="center"/>
      <protection/>
    </xf>
    <xf numFmtId="0" fontId="27" fillId="0" borderId="0" xfId="0" applyFont="1" applyAlignment="1">
      <alignment horizontal="right" vertical="center"/>
    </xf>
    <xf numFmtId="0" fontId="30" fillId="0" borderId="30" xfId="0" applyFont="1" applyBorder="1" applyAlignment="1" applyProtection="1" quotePrefix="1">
      <alignment horizontal="left" vertical="center"/>
      <protection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7" xfId="0" applyFont="1" applyBorder="1" applyAlignment="1" applyProtection="1" quotePrefix="1">
      <alignment horizontal="left" vertical="center"/>
      <protection/>
    </xf>
    <xf numFmtId="0" fontId="30" fillId="0" borderId="27" xfId="0" applyFont="1" applyBorder="1" applyAlignment="1" applyProtection="1">
      <alignment horizontal="left" vertical="center"/>
      <protection/>
    </xf>
    <xf numFmtId="0" fontId="33" fillId="0" borderId="0" xfId="165" applyFont="1" applyFill="1" applyBorder="1" applyAlignment="1">
      <alignment horizontal="center" vertical="center"/>
      <protection/>
    </xf>
    <xf numFmtId="0" fontId="25" fillId="0" borderId="0" xfId="166" applyFont="1" applyFill="1" applyBorder="1" applyAlignment="1">
      <alignment horizontal="center" vertical="center"/>
      <protection/>
    </xf>
    <xf numFmtId="38" fontId="23" fillId="0" borderId="0" xfId="157" applyNumberFormat="1" applyFont="1" applyBorder="1" applyAlignment="1">
      <alignment horizontal="centerContinuous" vertical="center"/>
    </xf>
    <xf numFmtId="38" fontId="23" fillId="0" borderId="0" xfId="157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37" fontId="27" fillId="0" borderId="0" xfId="0" applyNumberFormat="1" applyFont="1" applyBorder="1" applyAlignment="1" applyProtection="1">
      <alignment vertical="center"/>
      <protection/>
    </xf>
    <xf numFmtId="3" fontId="27" fillId="0" borderId="0" xfId="0" applyNumberFormat="1" applyFont="1" applyFill="1" applyBorder="1" applyAlignment="1">
      <alignment horizontal="right" vertical="center"/>
    </xf>
    <xf numFmtId="37" fontId="27" fillId="0" borderId="0" xfId="0" applyNumberFormat="1" applyFont="1" applyBorder="1" applyAlignment="1" applyProtection="1">
      <alignment horizontal="left" vertical="center"/>
      <protection/>
    </xf>
    <xf numFmtId="37" fontId="30" fillId="0" borderId="0" xfId="0" applyNumberFormat="1" applyFont="1" applyBorder="1" applyAlignment="1" applyProtection="1">
      <alignment vertical="center"/>
      <protection/>
    </xf>
    <xf numFmtId="3" fontId="27" fillId="0" borderId="26" xfId="0" applyNumberFormat="1" applyFont="1" applyBorder="1" applyAlignment="1">
      <alignment vertical="center"/>
    </xf>
    <xf numFmtId="3" fontId="27" fillId="0" borderId="24" xfId="0" applyNumberFormat="1" applyFont="1" applyFill="1" applyBorder="1" applyAlignment="1">
      <alignment horizontal="right" vertical="center"/>
    </xf>
    <xf numFmtId="0" fontId="27" fillId="0" borderId="24" xfId="0" applyFont="1" applyBorder="1" applyAlignment="1" applyProtection="1">
      <alignment vertical="center"/>
      <protection/>
    </xf>
    <xf numFmtId="0" fontId="23" fillId="0" borderId="25" xfId="0" applyFont="1" applyBorder="1" applyAlignment="1" applyProtection="1">
      <alignment horizontal="left" vertical="center"/>
      <protection/>
    </xf>
    <xf numFmtId="0" fontId="27" fillId="0" borderId="25" xfId="123" applyFont="1" applyBorder="1" applyAlignment="1">
      <alignment horizontal="left" vertical="center"/>
      <protection/>
    </xf>
    <xf numFmtId="0" fontId="23" fillId="0" borderId="32" xfId="0" applyFont="1" applyFill="1" applyBorder="1" applyAlignment="1">
      <alignment horizontal="centerContinuous" vertical="center"/>
    </xf>
    <xf numFmtId="0" fontId="25" fillId="0" borderId="33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8" fillId="20" borderId="0" xfId="164" applyFont="1" applyFill="1">
      <alignment/>
      <protection/>
    </xf>
    <xf numFmtId="224" fontId="39" fillId="20" borderId="0" xfId="156" applyNumberFormat="1" applyFont="1" applyFill="1" applyAlignment="1">
      <alignment/>
    </xf>
    <xf numFmtId="0" fontId="39" fillId="20" borderId="0" xfId="164" applyFont="1" applyFill="1">
      <alignment/>
      <protection/>
    </xf>
    <xf numFmtId="0" fontId="38" fillId="20" borderId="0" xfId="164" applyFont="1" applyFill="1" applyAlignment="1">
      <alignment horizontal="right"/>
      <protection/>
    </xf>
    <xf numFmtId="0" fontId="40" fillId="20" borderId="0" xfId="164" applyFont="1" applyFill="1">
      <alignment/>
      <protection/>
    </xf>
    <xf numFmtId="0" fontId="40" fillId="20" borderId="0" xfId="164" applyFont="1" applyFill="1" applyAlignment="1">
      <alignment horizontal="right"/>
      <protection/>
    </xf>
    <xf numFmtId="0" fontId="41" fillId="17" borderId="34" xfId="164" applyFont="1" applyFill="1" applyBorder="1" applyAlignment="1">
      <alignment horizontal="center"/>
      <protection/>
    </xf>
    <xf numFmtId="0" fontId="41" fillId="17" borderId="35" xfId="164" applyFont="1" applyFill="1" applyBorder="1" applyAlignment="1">
      <alignment horizontal="center"/>
      <protection/>
    </xf>
    <xf numFmtId="0" fontId="41" fillId="9" borderId="36" xfId="164" applyFont="1" applyFill="1" applyBorder="1" applyAlignment="1">
      <alignment horizontal="center"/>
      <protection/>
    </xf>
    <xf numFmtId="0" fontId="41" fillId="17" borderId="37" xfId="164" applyFont="1" applyFill="1" applyBorder="1" applyAlignment="1">
      <alignment horizontal="center"/>
      <protection/>
    </xf>
    <xf numFmtId="0" fontId="41" fillId="17" borderId="38" xfId="164" applyFont="1" applyFill="1" applyBorder="1" applyAlignment="1">
      <alignment horizontal="center"/>
      <protection/>
    </xf>
    <xf numFmtId="0" fontId="41" fillId="2" borderId="0" xfId="164" applyFont="1" applyFill="1" applyBorder="1" applyAlignment="1">
      <alignment horizontal="center"/>
      <protection/>
    </xf>
    <xf numFmtId="0" fontId="41" fillId="2" borderId="38" xfId="164" applyFont="1" applyFill="1" applyBorder="1" applyAlignment="1">
      <alignment horizontal="center"/>
      <protection/>
    </xf>
    <xf numFmtId="0" fontId="39" fillId="17" borderId="37" xfId="164" applyFont="1" applyFill="1" applyBorder="1">
      <alignment/>
      <protection/>
    </xf>
    <xf numFmtId="224" fontId="39" fillId="17" borderId="38" xfId="156" applyNumberFormat="1" applyFont="1" applyFill="1" applyBorder="1" applyAlignment="1">
      <alignment/>
    </xf>
    <xf numFmtId="0" fontId="39" fillId="2" borderId="0" xfId="164" applyFont="1" applyFill="1" applyBorder="1">
      <alignment/>
      <protection/>
    </xf>
    <xf numFmtId="224" fontId="39" fillId="2" borderId="0" xfId="156" applyNumberFormat="1" applyFont="1" applyFill="1" applyBorder="1" applyAlignment="1">
      <alignment/>
    </xf>
    <xf numFmtId="0" fontId="39" fillId="2" borderId="38" xfId="164" applyFont="1" applyFill="1" applyBorder="1" applyAlignment="1">
      <alignment horizontal="center"/>
      <protection/>
    </xf>
    <xf numFmtId="0" fontId="40" fillId="20" borderId="0" xfId="164" applyFont="1" applyFill="1" applyProtection="1">
      <alignment/>
      <protection hidden="1" locked="0"/>
    </xf>
    <xf numFmtId="0" fontId="40" fillId="20" borderId="0" xfId="164" applyFont="1" applyFill="1" applyAlignment="1" applyProtection="1">
      <alignment horizontal="right"/>
      <protection hidden="1" locked="0"/>
    </xf>
    <xf numFmtId="0" fontId="43" fillId="17" borderId="38" xfId="109" applyFill="1" applyBorder="1" applyAlignment="1" applyProtection="1">
      <alignment horizontal="center"/>
      <protection/>
    </xf>
    <xf numFmtId="0" fontId="43" fillId="2" borderId="0" xfId="109" applyFill="1" applyBorder="1" applyAlignment="1" applyProtection="1">
      <alignment horizontal="center"/>
      <protection/>
    </xf>
    <xf numFmtId="0" fontId="39" fillId="2" borderId="38" xfId="164" applyFont="1" applyFill="1" applyBorder="1">
      <alignment/>
      <protection/>
    </xf>
    <xf numFmtId="0" fontId="39" fillId="2" borderId="0" xfId="164" applyFont="1" applyFill="1" applyBorder="1" applyAlignment="1">
      <alignment horizontal="center"/>
      <protection/>
    </xf>
    <xf numFmtId="223" fontId="40" fillId="20" borderId="0" xfId="164" applyNumberFormat="1" applyFont="1" applyFill="1" applyAlignment="1" applyProtection="1">
      <alignment horizontal="right"/>
      <protection hidden="1" locked="0"/>
    </xf>
    <xf numFmtId="0" fontId="39" fillId="17" borderId="39" xfId="164" applyFont="1" applyFill="1" applyBorder="1">
      <alignment/>
      <protection/>
    </xf>
    <xf numFmtId="224" fontId="39" fillId="17" borderId="40" xfId="156" applyNumberFormat="1" applyFont="1" applyFill="1" applyBorder="1" applyAlignment="1">
      <alignment/>
    </xf>
    <xf numFmtId="0" fontId="39" fillId="2" borderId="41" xfId="164" applyFont="1" applyFill="1" applyBorder="1">
      <alignment/>
      <protection/>
    </xf>
    <xf numFmtId="224" fontId="39" fillId="2" borderId="41" xfId="156" applyNumberFormat="1" applyFont="1" applyFill="1" applyBorder="1" applyAlignment="1">
      <alignment/>
    </xf>
    <xf numFmtId="0" fontId="41" fillId="2" borderId="41" xfId="164" applyFont="1" applyFill="1" applyBorder="1">
      <alignment/>
      <protection/>
    </xf>
    <xf numFmtId="0" fontId="39" fillId="2" borderId="40" xfId="164" applyFont="1" applyFill="1" applyBorder="1">
      <alignment/>
      <protection/>
    </xf>
    <xf numFmtId="0" fontId="40" fillId="20" borderId="0" xfId="164" applyFont="1" applyFill="1" applyAlignment="1" applyProtection="1" quotePrefix="1">
      <alignment horizontal="right"/>
      <protection hidden="1" locked="0"/>
    </xf>
    <xf numFmtId="0" fontId="39" fillId="20" borderId="0" xfId="164" applyFont="1" applyFill="1" applyAlignment="1">
      <alignment horizontal="center"/>
      <protection/>
    </xf>
    <xf numFmtId="0" fontId="40" fillId="20" borderId="0" xfId="164" applyFont="1" applyFill="1" applyAlignment="1">
      <alignment horizontal="center"/>
      <protection/>
    </xf>
    <xf numFmtId="0" fontId="40" fillId="20" borderId="0" xfId="164" applyFont="1" applyFill="1" applyAlignment="1" applyProtection="1">
      <alignment horizontal="center"/>
      <protection hidden="1" locked="0"/>
    </xf>
    <xf numFmtId="0" fontId="41" fillId="17" borderId="0" xfId="164" applyFont="1" applyFill="1" applyBorder="1" applyAlignment="1">
      <alignment horizontal="center"/>
      <protection/>
    </xf>
    <xf numFmtId="225" fontId="39" fillId="20" borderId="0" xfId="164" applyNumberFormat="1" applyFont="1" applyFill="1">
      <alignment/>
      <protection/>
    </xf>
    <xf numFmtId="224" fontId="39" fillId="17" borderId="0" xfId="156" applyNumberFormat="1" applyFont="1" applyFill="1" applyBorder="1" applyAlignment="1">
      <alignment/>
    </xf>
    <xf numFmtId="0" fontId="39" fillId="17" borderId="0" xfId="164" applyFont="1" applyFill="1" applyBorder="1">
      <alignment/>
      <protection/>
    </xf>
    <xf numFmtId="202" fontId="42" fillId="21" borderId="8" xfId="156" applyNumberFormat="1" applyFont="1" applyFill="1" applyBorder="1" applyAlignment="1" applyProtection="1">
      <alignment/>
      <protection locked="0"/>
    </xf>
    <xf numFmtId="0" fontId="42" fillId="21" borderId="8" xfId="164" applyFont="1" applyFill="1" applyBorder="1" applyProtection="1">
      <alignment/>
      <protection locked="0"/>
    </xf>
    <xf numFmtId="0" fontId="39" fillId="17" borderId="38" xfId="164" applyFont="1" applyFill="1" applyBorder="1">
      <alignment/>
      <protection/>
    </xf>
    <xf numFmtId="202" fontId="40" fillId="20" borderId="0" xfId="156" applyNumberFormat="1" applyFont="1" applyFill="1" applyAlignment="1" applyProtection="1">
      <alignment horizontal="right"/>
      <protection hidden="1" locked="0"/>
    </xf>
    <xf numFmtId="224" fontId="39" fillId="17" borderId="41" xfId="156" applyNumberFormat="1" applyFont="1" applyFill="1" applyBorder="1" applyAlignment="1">
      <alignment/>
    </xf>
    <xf numFmtId="0" fontId="39" fillId="17" borderId="41" xfId="164" applyFont="1" applyFill="1" applyBorder="1">
      <alignment/>
      <protection/>
    </xf>
    <xf numFmtId="0" fontId="39" fillId="17" borderId="40" xfId="164" applyFont="1" applyFill="1" applyBorder="1">
      <alignment/>
      <protection/>
    </xf>
    <xf numFmtId="202" fontId="40" fillId="20" borderId="0" xfId="156" applyNumberFormat="1" applyFont="1" applyFill="1" applyAlignment="1" applyProtection="1" quotePrefix="1">
      <alignment horizontal="right"/>
      <protection hidden="1" locked="0"/>
    </xf>
    <xf numFmtId="224" fontId="41" fillId="3" borderId="42" xfId="156" applyNumberFormat="1" applyFont="1" applyFill="1" applyBorder="1" applyAlignment="1">
      <alignment horizontal="center" vertical="center" wrapText="1"/>
    </xf>
    <xf numFmtId="0" fontId="41" fillId="3" borderId="42" xfId="164" applyFont="1" applyFill="1" applyBorder="1" applyAlignment="1">
      <alignment horizontal="center" vertical="center" wrapText="1"/>
      <protection/>
    </xf>
    <xf numFmtId="0" fontId="39" fillId="2" borderId="43" xfId="164" applyFont="1" applyFill="1" applyBorder="1" applyAlignment="1">
      <alignment horizontal="right"/>
      <protection/>
    </xf>
    <xf numFmtId="224" fontId="39" fillId="2" borderId="44" xfId="156" applyNumberFormat="1" applyFont="1" applyFill="1" applyBorder="1" applyAlignment="1">
      <alignment/>
    </xf>
    <xf numFmtId="0" fontId="39" fillId="2" borderId="44" xfId="164" applyFont="1" applyFill="1" applyBorder="1">
      <alignment/>
      <protection/>
    </xf>
    <xf numFmtId="224" fontId="39" fillId="2" borderId="44" xfId="137" applyNumberFormat="1" applyFont="1" applyFill="1" applyBorder="1" applyAlignment="1">
      <alignment/>
    </xf>
    <xf numFmtId="0" fontId="39" fillId="2" borderId="44" xfId="137" applyNumberFormat="1" applyFont="1" applyFill="1" applyBorder="1" applyAlignment="1">
      <alignment/>
    </xf>
    <xf numFmtId="222" fontId="39" fillId="2" borderId="44" xfId="164" applyNumberFormat="1" applyFont="1" applyFill="1" applyBorder="1">
      <alignment/>
      <protection/>
    </xf>
    <xf numFmtId="224" fontId="44" fillId="2" borderId="45" xfId="156" applyNumberFormat="1" applyFont="1" applyFill="1" applyBorder="1" applyAlignment="1">
      <alignment/>
    </xf>
    <xf numFmtId="0" fontId="39" fillId="2" borderId="46" xfId="164" applyFont="1" applyFill="1" applyBorder="1">
      <alignment/>
      <protection/>
    </xf>
    <xf numFmtId="224" fontId="39" fillId="2" borderId="8" xfId="156" applyNumberFormat="1" applyFont="1" applyFill="1" applyBorder="1" applyAlignment="1">
      <alignment/>
    </xf>
    <xf numFmtId="0" fontId="39" fillId="2" borderId="8" xfId="164" applyFont="1" applyFill="1" applyBorder="1">
      <alignment/>
      <protection/>
    </xf>
    <xf numFmtId="224" fontId="39" fillId="2" borderId="8" xfId="137" applyNumberFormat="1" applyFont="1" applyFill="1" applyBorder="1" applyAlignment="1">
      <alignment/>
    </xf>
    <xf numFmtId="0" fontId="39" fillId="2" borderId="8" xfId="137" applyNumberFormat="1" applyFont="1" applyFill="1" applyBorder="1" applyAlignment="1">
      <alignment/>
    </xf>
    <xf numFmtId="222" fontId="39" fillId="2" borderId="8" xfId="164" applyNumberFormat="1" applyFont="1" applyFill="1" applyBorder="1">
      <alignment/>
      <protection/>
    </xf>
    <xf numFmtId="224" fontId="44" fillId="2" borderId="47" xfId="156" applyNumberFormat="1" applyFont="1" applyFill="1" applyBorder="1" applyAlignment="1">
      <alignment/>
    </xf>
    <xf numFmtId="0" fontId="39" fillId="2" borderId="48" xfId="164" applyFont="1" applyFill="1" applyBorder="1" applyAlignment="1">
      <alignment horizontal="right"/>
      <protection/>
    </xf>
    <xf numFmtId="224" fontId="39" fillId="2" borderId="42" xfId="156" applyNumberFormat="1" applyFont="1" applyFill="1" applyBorder="1" applyAlignment="1">
      <alignment/>
    </xf>
    <xf numFmtId="0" fontId="39" fillId="2" borderId="42" xfId="164" applyFont="1" applyFill="1" applyBorder="1">
      <alignment/>
      <protection/>
    </xf>
    <xf numFmtId="224" fontId="39" fillId="2" borderId="42" xfId="137" applyNumberFormat="1" applyFont="1" applyFill="1" applyBorder="1" applyAlignment="1">
      <alignment/>
    </xf>
    <xf numFmtId="0" fontId="39" fillId="2" borderId="42" xfId="137" applyNumberFormat="1" applyFont="1" applyFill="1" applyBorder="1" applyAlignment="1">
      <alignment/>
    </xf>
    <xf numFmtId="222" fontId="39" fillId="2" borderId="42" xfId="164" applyNumberFormat="1" applyFont="1" applyFill="1" applyBorder="1">
      <alignment/>
      <protection/>
    </xf>
    <xf numFmtId="224" fontId="44" fillId="2" borderId="49" xfId="156" applyNumberFormat="1" applyFont="1" applyFill="1" applyBorder="1" applyAlignment="1">
      <alignment/>
    </xf>
    <xf numFmtId="0" fontId="31" fillId="0" borderId="0" xfId="124" applyFont="1" applyAlignment="1">
      <alignment vertical="center"/>
      <protection/>
    </xf>
    <xf numFmtId="0" fontId="27" fillId="0" borderId="0" xfId="124" applyFont="1" applyAlignment="1">
      <alignment horizontal="centerContinuous" vertical="center"/>
      <protection/>
    </xf>
    <xf numFmtId="0" fontId="27" fillId="0" borderId="0" xfId="124" applyFont="1" applyAlignment="1">
      <alignment vertical="center"/>
      <protection/>
    </xf>
    <xf numFmtId="0" fontId="27" fillId="0" borderId="50" xfId="124" applyFont="1" applyBorder="1" applyAlignment="1">
      <alignment horizontal="left" vertical="center"/>
      <protection/>
    </xf>
    <xf numFmtId="0" fontId="27" fillId="0" borderId="51" xfId="124" applyFont="1" applyBorder="1" applyAlignment="1">
      <alignment horizontal="left" vertical="center"/>
      <protection/>
    </xf>
    <xf numFmtId="38" fontId="30" fillId="0" borderId="51" xfId="124" applyNumberFormat="1" applyFont="1" applyBorder="1" applyAlignment="1">
      <alignment horizontal="left" vertical="center"/>
      <protection/>
    </xf>
    <xf numFmtId="0" fontId="27" fillId="0" borderId="51" xfId="124" applyFont="1" applyBorder="1" applyAlignment="1" quotePrefix="1">
      <alignment horizontal="left" vertical="center"/>
      <protection/>
    </xf>
    <xf numFmtId="0" fontId="27" fillId="0" borderId="51" xfId="124" applyFont="1" applyBorder="1" applyAlignment="1">
      <alignment vertical="center"/>
      <protection/>
    </xf>
    <xf numFmtId="0" fontId="30" fillId="17" borderId="33" xfId="124" applyFont="1" applyFill="1" applyBorder="1" applyAlignment="1">
      <alignment horizontal="center" vertical="center"/>
      <protection/>
    </xf>
    <xf numFmtId="0" fontId="27" fillId="0" borderId="27" xfId="124" applyFont="1" applyBorder="1" applyAlignment="1">
      <alignment horizontal="left" vertical="center"/>
      <protection/>
    </xf>
    <xf numFmtId="38" fontId="27" fillId="0" borderId="25" xfId="86" applyNumberFormat="1" applyFont="1" applyBorder="1" applyAlignment="1">
      <alignment horizontal="left" vertical="center"/>
    </xf>
    <xf numFmtId="38" fontId="30" fillId="0" borderId="25" xfId="124" applyNumberFormat="1" applyFont="1" applyBorder="1" applyAlignment="1">
      <alignment horizontal="left" vertical="center"/>
      <protection/>
    </xf>
    <xf numFmtId="0" fontId="30" fillId="0" borderId="25" xfId="124" applyFont="1" applyBorder="1" applyAlignment="1">
      <alignment horizontal="left" vertical="center"/>
      <protection/>
    </xf>
    <xf numFmtId="0" fontId="27" fillId="0" borderId="25" xfId="124" applyFont="1" applyBorder="1" applyAlignment="1">
      <alignment vertical="center"/>
      <protection/>
    </xf>
    <xf numFmtId="38" fontId="27" fillId="0" borderId="52" xfId="86" applyNumberFormat="1" applyFont="1" applyBorder="1" applyAlignment="1" quotePrefix="1">
      <alignment horizontal="right" vertical="center"/>
    </xf>
    <xf numFmtId="0" fontId="27" fillId="0" borderId="25" xfId="124" applyFont="1" applyBorder="1" applyAlignment="1" quotePrefix="1">
      <alignment horizontal="left" vertical="center"/>
      <protection/>
    </xf>
    <xf numFmtId="0" fontId="31" fillId="0" borderId="25" xfId="124" applyFont="1" applyBorder="1" applyAlignment="1">
      <alignment vertical="center"/>
      <protection/>
    </xf>
    <xf numFmtId="0" fontId="31" fillId="0" borderId="25" xfId="124" applyFont="1" applyBorder="1" applyAlignment="1" quotePrefix="1">
      <alignment horizontal="left" vertical="center"/>
      <protection/>
    </xf>
    <xf numFmtId="38" fontId="27" fillId="0" borderId="26" xfId="86" applyNumberFormat="1" applyFont="1" applyBorder="1" applyAlignment="1">
      <alignment horizontal="center" vertical="center"/>
    </xf>
    <xf numFmtId="49" fontId="30" fillId="0" borderId="25" xfId="124" applyNumberFormat="1" applyFont="1" applyBorder="1" applyAlignment="1">
      <alignment horizontal="center" vertical="center"/>
      <protection/>
    </xf>
    <xf numFmtId="0" fontId="27" fillId="0" borderId="25" xfId="124" applyFont="1" applyBorder="1" applyAlignment="1">
      <alignment horizontal="left" vertical="center"/>
      <protection/>
    </xf>
    <xf numFmtId="38" fontId="27" fillId="0" borderId="25" xfId="86" applyNumberFormat="1" applyFont="1" applyBorder="1" applyAlignment="1" quotePrefix="1">
      <alignment horizontal="center" vertical="center"/>
    </xf>
    <xf numFmtId="38" fontId="27" fillId="0" borderId="26" xfId="86" applyNumberFormat="1" applyFont="1" applyBorder="1" applyAlignment="1">
      <alignment horizontal="left" vertical="center"/>
    </xf>
    <xf numFmtId="38" fontId="27" fillId="0" borderId="25" xfId="86" applyNumberFormat="1" applyFont="1" applyBorder="1" applyAlignment="1">
      <alignment horizontal="right" vertical="center"/>
    </xf>
    <xf numFmtId="0" fontId="27" fillId="0" borderId="25" xfId="124" applyFont="1" applyBorder="1" applyAlignment="1">
      <alignment horizontal="center" vertical="center"/>
      <protection/>
    </xf>
    <xf numFmtId="0" fontId="30" fillId="0" borderId="26" xfId="124" applyFont="1" applyBorder="1" applyAlignment="1">
      <alignment horizontal="left" vertical="center"/>
      <protection/>
    </xf>
    <xf numFmtId="0" fontId="27" fillId="0" borderId="53" xfId="124" applyFont="1" applyBorder="1" applyAlignment="1">
      <alignment horizontal="left" vertical="center"/>
      <protection/>
    </xf>
    <xf numFmtId="0" fontId="27" fillId="0" borderId="54" xfId="124" applyFont="1" applyBorder="1" applyAlignment="1" quotePrefix="1">
      <alignment horizontal="left" vertical="center"/>
      <protection/>
    </xf>
    <xf numFmtId="0" fontId="27" fillId="0" borderId="54" xfId="124" applyFont="1" applyBorder="1" applyAlignment="1">
      <alignment vertical="center"/>
      <protection/>
    </xf>
    <xf numFmtId="0" fontId="30" fillId="0" borderId="54" xfId="124" applyFont="1" applyBorder="1" applyAlignment="1">
      <alignment horizontal="center" vertical="center"/>
      <protection/>
    </xf>
    <xf numFmtId="0" fontId="30" fillId="0" borderId="55" xfId="124" applyFont="1" applyBorder="1" applyAlignment="1">
      <alignment horizontal="left" vertical="center"/>
      <protection/>
    </xf>
    <xf numFmtId="0" fontId="27" fillId="0" borderId="0" xfId="122" applyFont="1" applyAlignment="1" quotePrefix="1">
      <alignment horizontal="left" vertical="center"/>
      <protection/>
    </xf>
    <xf numFmtId="0" fontId="27" fillId="0" borderId="0" xfId="124" applyFont="1" applyAlignment="1">
      <alignment horizontal="left" vertical="center"/>
      <protection/>
    </xf>
    <xf numFmtId="0" fontId="27" fillId="0" borderId="0" xfId="124" applyFont="1" applyAlignment="1">
      <alignment horizontal="center" vertical="center"/>
      <protection/>
    </xf>
    <xf numFmtId="0" fontId="27" fillId="0" borderId="0" xfId="124" applyFont="1" applyAlignment="1" quotePrefix="1">
      <alignment horizontal="left" vertical="center"/>
      <protection/>
    </xf>
    <xf numFmtId="0" fontId="27" fillId="0" borderId="0" xfId="124" applyFont="1" applyBorder="1" applyAlignment="1" quotePrefix="1">
      <alignment horizontal="left" vertical="center"/>
      <protection/>
    </xf>
    <xf numFmtId="38" fontId="27" fillId="0" borderId="21" xfId="86" applyNumberFormat="1" applyFont="1" applyBorder="1" applyAlignment="1">
      <alignment horizontal="center" vertical="center"/>
    </xf>
    <xf numFmtId="0" fontId="27" fillId="0" borderId="23" xfId="122" applyFont="1" applyBorder="1" applyAlignment="1" quotePrefix="1">
      <alignment horizontal="left" vertical="center"/>
      <protection/>
    </xf>
    <xf numFmtId="9" fontId="30" fillId="0" borderId="23" xfId="124" applyNumberFormat="1" applyFont="1" applyBorder="1" applyAlignment="1">
      <alignment horizontal="center" vertical="center"/>
      <protection/>
    </xf>
    <xf numFmtId="9" fontId="30" fillId="0" borderId="23" xfId="124" applyNumberFormat="1" applyFont="1" applyBorder="1" applyAlignment="1">
      <alignment horizontal="left" vertical="center"/>
      <protection/>
    </xf>
    <xf numFmtId="0" fontId="27" fillId="0" borderId="23" xfId="124" applyFont="1" applyBorder="1" applyAlignment="1" quotePrefix="1">
      <alignment horizontal="left" vertical="center"/>
      <protection/>
    </xf>
    <xf numFmtId="38" fontId="27" fillId="0" borderId="19" xfId="86" applyNumberFormat="1" applyFont="1" applyBorder="1" applyAlignment="1">
      <alignment horizontal="center" vertical="center"/>
    </xf>
    <xf numFmtId="0" fontId="27" fillId="0" borderId="4" xfId="124" applyFont="1" applyBorder="1" applyAlignment="1">
      <alignment horizontal="left" vertical="center"/>
      <protection/>
    </xf>
    <xf numFmtId="38" fontId="27" fillId="0" borderId="4" xfId="86" applyNumberFormat="1" applyFont="1" applyBorder="1" applyAlignment="1">
      <alignment horizontal="left" vertical="center"/>
    </xf>
    <xf numFmtId="0" fontId="27" fillId="0" borderId="4" xfId="124" applyFont="1" applyBorder="1" applyAlignment="1" quotePrefix="1">
      <alignment horizontal="left" vertical="center"/>
      <protection/>
    </xf>
    <xf numFmtId="0" fontId="27" fillId="0" borderId="4" xfId="124" applyFont="1" applyBorder="1" applyAlignment="1">
      <alignment vertical="center"/>
      <protection/>
    </xf>
    <xf numFmtId="0" fontId="31" fillId="0" borderId="4" xfId="124" applyFont="1" applyBorder="1" applyAlignment="1">
      <alignment vertical="center"/>
      <protection/>
    </xf>
    <xf numFmtId="0" fontId="31" fillId="0" borderId="4" xfId="124" applyFont="1" applyBorder="1" applyAlignment="1" quotePrefix="1">
      <alignment horizontal="left" vertical="center"/>
      <protection/>
    </xf>
    <xf numFmtId="38" fontId="27" fillId="0" borderId="4" xfId="86" applyNumberFormat="1" applyFont="1" applyBorder="1" applyAlignment="1">
      <alignment horizontal="center" vertical="center"/>
    </xf>
    <xf numFmtId="0" fontId="30" fillId="0" borderId="13" xfId="124" applyFont="1" applyBorder="1" applyAlignment="1">
      <alignment horizontal="center" vertical="center"/>
      <protection/>
    </xf>
    <xf numFmtId="0" fontId="30" fillId="0" borderId="16" xfId="124" applyFont="1" applyBorder="1" applyAlignment="1">
      <alignment horizontal="centerContinuous" vertical="center"/>
      <protection/>
    </xf>
    <xf numFmtId="0" fontId="27" fillId="0" borderId="16" xfId="124" applyFont="1" applyBorder="1" applyAlignment="1">
      <alignment horizontal="centerContinuous" vertical="center"/>
      <protection/>
    </xf>
    <xf numFmtId="0" fontId="27" fillId="0" borderId="17" xfId="124" applyFont="1" applyBorder="1" applyAlignment="1">
      <alignment horizontal="left" vertical="center"/>
      <protection/>
    </xf>
    <xf numFmtId="0" fontId="27" fillId="0" borderId="23" xfId="124" applyFont="1" applyBorder="1" applyAlignment="1">
      <alignment horizontal="left" vertical="center"/>
      <protection/>
    </xf>
    <xf numFmtId="0" fontId="27" fillId="0" borderId="23" xfId="124" applyFont="1" applyBorder="1" applyAlignment="1">
      <alignment vertical="center"/>
      <protection/>
    </xf>
    <xf numFmtId="0" fontId="27" fillId="0" borderId="19" xfId="124" applyFont="1" applyBorder="1" applyAlignment="1">
      <alignment vertical="center"/>
      <protection/>
    </xf>
    <xf numFmtId="0" fontId="30" fillId="0" borderId="19" xfId="124" applyFont="1" applyBorder="1" applyAlignment="1">
      <alignment horizontal="center" vertical="center"/>
      <protection/>
    </xf>
    <xf numFmtId="0" fontId="30" fillId="0" borderId="18" xfId="124" applyFont="1" applyBorder="1" applyAlignment="1">
      <alignment horizontal="center" vertical="center"/>
      <protection/>
    </xf>
    <xf numFmtId="0" fontId="30" fillId="0" borderId="56" xfId="124" applyFont="1" applyBorder="1" applyAlignment="1">
      <alignment horizontal="center" vertical="center"/>
      <protection/>
    </xf>
    <xf numFmtId="0" fontId="27" fillId="0" borderId="50" xfId="124" applyFont="1" applyBorder="1" applyAlignment="1">
      <alignment vertical="center"/>
      <protection/>
    </xf>
    <xf numFmtId="0" fontId="27" fillId="0" borderId="28" xfId="124" applyFont="1" applyBorder="1" applyAlignment="1">
      <alignment vertical="center"/>
      <protection/>
    </xf>
    <xf numFmtId="2" fontId="27" fillId="0" borderId="28" xfId="124" applyNumberFormat="1" applyFont="1" applyFill="1" applyBorder="1" applyAlignment="1">
      <alignment vertical="center"/>
      <protection/>
    </xf>
    <xf numFmtId="3" fontId="27" fillId="0" borderId="13" xfId="124" applyNumberFormat="1" applyFont="1" applyFill="1" applyBorder="1" applyAlignment="1">
      <alignment vertical="center"/>
      <protection/>
    </xf>
    <xf numFmtId="0" fontId="27" fillId="0" borderId="31" xfId="124" applyFont="1" applyBorder="1" applyAlignment="1">
      <alignment vertical="center"/>
      <protection/>
    </xf>
    <xf numFmtId="0" fontId="27" fillId="0" borderId="53" xfId="124" applyFont="1" applyBorder="1" applyAlignment="1">
      <alignment vertical="center"/>
      <protection/>
    </xf>
    <xf numFmtId="220" fontId="30" fillId="0" borderId="54" xfId="86" applyNumberFormat="1" applyFont="1" applyFill="1" applyBorder="1" applyAlignment="1">
      <alignment horizontal="center" vertical="center"/>
    </xf>
    <xf numFmtId="204" fontId="30" fillId="0" borderId="54" xfId="124" applyNumberFormat="1" applyFont="1" applyFill="1" applyBorder="1" applyAlignment="1">
      <alignment horizontal="center" vertical="center"/>
      <protection/>
    </xf>
    <xf numFmtId="3" fontId="30" fillId="0" borderId="8" xfId="124" applyNumberFormat="1" applyFont="1" applyFill="1" applyBorder="1" applyAlignment="1">
      <alignment vertical="center"/>
      <protection/>
    </xf>
    <xf numFmtId="3" fontId="30" fillId="0" borderId="57" xfId="124" applyNumberFormat="1" applyFont="1" applyFill="1" applyBorder="1" applyAlignment="1">
      <alignment vertical="center"/>
      <protection/>
    </xf>
    <xf numFmtId="3" fontId="30" fillId="0" borderId="27" xfId="124" applyNumberFormat="1" applyFont="1" applyFill="1" applyBorder="1" applyAlignment="1">
      <alignment vertical="center"/>
      <protection/>
    </xf>
    <xf numFmtId="3" fontId="30" fillId="0" borderId="26" xfId="124" applyNumberFormat="1" applyFont="1" applyFill="1" applyBorder="1" applyAlignment="1">
      <alignment vertical="center"/>
      <protection/>
    </xf>
    <xf numFmtId="3" fontId="27" fillId="0" borderId="20" xfId="124" applyNumberFormat="1" applyFont="1" applyFill="1" applyBorder="1" applyAlignment="1">
      <alignment vertical="center"/>
      <protection/>
    </xf>
    <xf numFmtId="3" fontId="27" fillId="0" borderId="21" xfId="124" applyNumberFormat="1" applyFont="1" applyFill="1" applyBorder="1" applyAlignment="1">
      <alignment vertical="center"/>
      <protection/>
    </xf>
    <xf numFmtId="3" fontId="27" fillId="0" borderId="27" xfId="124" applyNumberFormat="1" applyFont="1" applyFill="1" applyBorder="1" applyAlignment="1">
      <alignment vertical="center"/>
      <protection/>
    </xf>
    <xf numFmtId="3" fontId="27" fillId="0" borderId="26" xfId="124" applyNumberFormat="1" applyFont="1" applyFill="1" applyBorder="1" applyAlignment="1">
      <alignment vertical="center"/>
      <protection/>
    </xf>
    <xf numFmtId="2" fontId="30" fillId="0" borderId="54" xfId="124" applyNumberFormat="1" applyFont="1" applyFill="1" applyBorder="1" applyAlignment="1" quotePrefix="1">
      <alignment horizontal="center" vertical="center"/>
      <protection/>
    </xf>
    <xf numFmtId="0" fontId="30" fillId="0" borderId="8" xfId="124" applyFont="1" applyBorder="1" applyAlignment="1">
      <alignment horizontal="center" vertical="center"/>
      <protection/>
    </xf>
    <xf numFmtId="0" fontId="27" fillId="0" borderId="29" xfId="124" applyFont="1" applyBorder="1" applyAlignment="1">
      <alignment vertical="center"/>
      <protection/>
    </xf>
    <xf numFmtId="2" fontId="27" fillId="0" borderId="54" xfId="124" applyNumberFormat="1" applyFont="1" applyFill="1" applyBorder="1" applyAlignment="1">
      <alignment vertical="center"/>
      <protection/>
    </xf>
    <xf numFmtId="0" fontId="27" fillId="0" borderId="58" xfId="124" applyFont="1" applyBorder="1" applyAlignment="1">
      <alignment vertical="center"/>
      <protection/>
    </xf>
    <xf numFmtId="2" fontId="27" fillId="0" borderId="25" xfId="124" applyNumberFormat="1" applyFont="1" applyFill="1" applyBorder="1" applyAlignment="1">
      <alignment vertical="center"/>
      <protection/>
    </xf>
    <xf numFmtId="2" fontId="27" fillId="0" borderId="25" xfId="124" applyNumberFormat="1" applyFont="1" applyFill="1" applyBorder="1" applyAlignment="1" quotePrefix="1">
      <alignment vertical="center"/>
      <protection/>
    </xf>
    <xf numFmtId="0" fontId="27" fillId="0" borderId="29" xfId="124" applyFont="1" applyBorder="1" applyAlignment="1">
      <alignment horizontal="left" vertical="center"/>
      <protection/>
    </xf>
    <xf numFmtId="0" fontId="30" fillId="0" borderId="4" xfId="124" applyFont="1" applyBorder="1" applyAlignment="1">
      <alignment horizontal="left" vertical="center"/>
      <protection/>
    </xf>
    <xf numFmtId="189" fontId="27" fillId="0" borderId="4" xfId="124" applyNumberFormat="1" applyFont="1" applyFill="1" applyBorder="1" applyAlignment="1">
      <alignment vertical="center"/>
      <protection/>
    </xf>
    <xf numFmtId="3" fontId="27" fillId="0" borderId="4" xfId="124" applyNumberFormat="1" applyFont="1" applyFill="1" applyBorder="1" applyAlignment="1">
      <alignment vertical="center"/>
      <protection/>
    </xf>
    <xf numFmtId="2" fontId="30" fillId="22" borderId="18" xfId="124" applyNumberFormat="1" applyFont="1" applyFill="1" applyBorder="1" applyAlignment="1" quotePrefix="1">
      <alignment vertical="center"/>
      <protection/>
    </xf>
    <xf numFmtId="0" fontId="30" fillId="0" borderId="29" xfId="124" applyFont="1" applyBorder="1" applyAlignment="1" quotePrefix="1">
      <alignment horizontal="left" vertical="center"/>
      <protection/>
    </xf>
    <xf numFmtId="2" fontId="30" fillId="22" borderId="23" xfId="124" applyNumberFormat="1" applyFont="1" applyFill="1" applyBorder="1" applyAlignment="1">
      <alignment vertical="center"/>
      <protection/>
    </xf>
    <xf numFmtId="0" fontId="31" fillId="0" borderId="23" xfId="124" applyFont="1" applyBorder="1" applyAlignment="1">
      <alignment vertical="center"/>
      <protection/>
    </xf>
    <xf numFmtId="38" fontId="33" fillId="0" borderId="59" xfId="86" applyNumberFormat="1" applyFont="1" applyFill="1" applyBorder="1" applyAlignment="1">
      <alignment vertical="center"/>
    </xf>
    <xf numFmtId="38" fontId="27" fillId="0" borderId="23" xfId="86" applyNumberFormat="1" applyFont="1" applyFill="1" applyBorder="1" applyAlignment="1">
      <alignment horizontal="center" vertical="center"/>
    </xf>
    <xf numFmtId="189" fontId="27" fillId="0" borderId="23" xfId="124" applyNumberFormat="1" applyFont="1" applyFill="1" applyBorder="1" applyAlignment="1">
      <alignment vertical="center"/>
      <protection/>
    </xf>
    <xf numFmtId="189" fontId="27" fillId="0" borderId="29" xfId="124" applyNumberFormat="1" applyFont="1" applyFill="1" applyBorder="1" applyAlignment="1">
      <alignment horizontal="center" vertical="center"/>
      <protection/>
    </xf>
    <xf numFmtId="3" fontId="27" fillId="0" borderId="60" xfId="124" applyNumberFormat="1" applyFont="1" applyFill="1" applyBorder="1" applyAlignment="1">
      <alignment vertical="center"/>
      <protection/>
    </xf>
    <xf numFmtId="3" fontId="27" fillId="0" borderId="18" xfId="124" applyNumberFormat="1" applyFont="1" applyFill="1" applyBorder="1" applyAlignment="1">
      <alignment vertical="center"/>
      <protection/>
    </xf>
    <xf numFmtId="3" fontId="27" fillId="0" borderId="19" xfId="124" applyNumberFormat="1" applyFont="1" applyFill="1" applyBorder="1" applyAlignment="1">
      <alignment vertical="center"/>
      <protection/>
    </xf>
    <xf numFmtId="0" fontId="30" fillId="0" borderId="0" xfId="124" applyFont="1" applyAlignment="1">
      <alignment vertical="center"/>
      <protection/>
    </xf>
    <xf numFmtId="37" fontId="27" fillId="0" borderId="24" xfId="0" applyNumberFormat="1" applyFont="1" applyFill="1" applyBorder="1" applyAlignment="1" applyProtection="1">
      <alignment vertical="center"/>
      <protection/>
    </xf>
    <xf numFmtId="37" fontId="31" fillId="0" borderId="0" xfId="0" applyNumberFormat="1" applyFont="1" applyBorder="1" applyAlignment="1" applyProtection="1">
      <alignment vertical="center"/>
      <protection/>
    </xf>
    <xf numFmtId="37" fontId="31" fillId="0" borderId="0" xfId="0" applyNumberFormat="1" applyFont="1" applyAlignment="1">
      <alignment vertical="center"/>
    </xf>
    <xf numFmtId="39" fontId="27" fillId="0" borderId="0" xfId="0" applyNumberFormat="1" applyFont="1" applyBorder="1" applyAlignment="1" applyProtection="1">
      <alignment vertical="center"/>
      <protection/>
    </xf>
    <xf numFmtId="37" fontId="27" fillId="0" borderId="24" xfId="0" applyNumberFormat="1" applyFont="1" applyFill="1" applyBorder="1" applyAlignment="1" applyProtection="1">
      <alignment horizontal="left" vertical="center"/>
      <protection/>
    </xf>
    <xf numFmtId="0" fontId="31" fillId="0" borderId="0" xfId="127" applyFont="1" applyAlignment="1">
      <alignment vertical="center"/>
      <protection/>
    </xf>
    <xf numFmtId="0" fontId="31" fillId="0" borderId="0" xfId="125" applyFont="1" applyFill="1" applyAlignment="1">
      <alignment vertical="center"/>
      <protection/>
    </xf>
    <xf numFmtId="39" fontId="27" fillId="0" borderId="24" xfId="0" applyNumberFormat="1" applyFont="1" applyBorder="1" applyAlignment="1" applyProtection="1">
      <alignment vertical="center"/>
      <protection/>
    </xf>
    <xf numFmtId="224" fontId="27" fillId="0" borderId="0" xfId="155" applyNumberFormat="1" applyFont="1" applyAlignment="1">
      <alignment vertical="center"/>
    </xf>
    <xf numFmtId="0" fontId="27" fillId="0" borderId="25" xfId="124" applyFont="1" applyBorder="1" applyAlignment="1">
      <alignment horizontal="right" vertical="center"/>
      <protection/>
    </xf>
    <xf numFmtId="0" fontId="23" fillId="0" borderId="14" xfId="166" applyFont="1" applyBorder="1" applyAlignment="1" quotePrefix="1">
      <alignment horizontal="left" vertical="center"/>
      <protection/>
    </xf>
    <xf numFmtId="0" fontId="24" fillId="0" borderId="16" xfId="166" applyFont="1" applyFill="1" applyBorder="1" applyAlignment="1">
      <alignment horizontal="centerContinuous" vertical="center"/>
      <protection/>
    </xf>
    <xf numFmtId="0" fontId="26" fillId="0" borderId="16" xfId="166" applyFont="1" applyBorder="1" applyAlignment="1">
      <alignment horizontal="left" vertical="center"/>
      <protection/>
    </xf>
    <xf numFmtId="38" fontId="23" fillId="0" borderId="16" xfId="157" applyNumberFormat="1" applyFont="1" applyBorder="1" applyAlignment="1">
      <alignment vertical="center"/>
    </xf>
    <xf numFmtId="0" fontId="24" fillId="0" borderId="16" xfId="166" applyFont="1" applyBorder="1" applyAlignment="1">
      <alignment vertical="center"/>
      <protection/>
    </xf>
    <xf numFmtId="0" fontId="23" fillId="0" borderId="27" xfId="166" applyFont="1" applyBorder="1" applyAlignment="1" quotePrefix="1">
      <alignment horizontal="left" vertical="center"/>
      <protection/>
    </xf>
    <xf numFmtId="0" fontId="28" fillId="0" borderId="25" xfId="166" applyFont="1" applyBorder="1" applyAlignment="1">
      <alignment horizontal="centerContinuous" vertical="center"/>
      <protection/>
    </xf>
    <xf numFmtId="0" fontId="26" fillId="0" borderId="25" xfId="166" applyFont="1" applyBorder="1" applyAlignment="1" quotePrefix="1">
      <alignment horizontal="left" vertical="center"/>
      <protection/>
    </xf>
    <xf numFmtId="38" fontId="23" fillId="0" borderId="25" xfId="157" applyNumberFormat="1" applyFont="1" applyBorder="1" applyAlignment="1">
      <alignment vertical="center"/>
    </xf>
    <xf numFmtId="0" fontId="24" fillId="0" borderId="25" xfId="166" applyFont="1" applyBorder="1" applyAlignment="1">
      <alignment vertical="center"/>
      <protection/>
    </xf>
    <xf numFmtId="0" fontId="23" fillId="0" borderId="25" xfId="166" applyFont="1" applyBorder="1" applyAlignment="1">
      <alignment horizontal="right" vertical="center"/>
      <protection/>
    </xf>
    <xf numFmtId="0" fontId="25" fillId="0" borderId="61" xfId="166" applyFont="1" applyBorder="1" applyAlignment="1">
      <alignment horizontal="left" vertical="center"/>
      <protection/>
    </xf>
    <xf numFmtId="0" fontId="23" fillId="0" borderId="62" xfId="166" applyFont="1" applyBorder="1" applyAlignment="1" quotePrefix="1">
      <alignment horizontal="left" vertical="center"/>
      <protection/>
    </xf>
    <xf numFmtId="0" fontId="29" fillId="0" borderId="63" xfId="166" applyFont="1" applyBorder="1" applyAlignment="1">
      <alignment horizontal="left" vertical="center"/>
      <protection/>
    </xf>
    <xf numFmtId="0" fontId="27" fillId="0" borderId="22" xfId="0" applyFont="1" applyBorder="1" applyAlignment="1" quotePrefix="1">
      <alignment horizontal="left" vertical="center"/>
    </xf>
    <xf numFmtId="0" fontId="61" fillId="0" borderId="18" xfId="0" applyFont="1" applyBorder="1" applyAlignment="1">
      <alignment horizontal="left" vertical="center"/>
    </xf>
    <xf numFmtId="0" fontId="27" fillId="0" borderId="64" xfId="123" applyFont="1" applyBorder="1" applyAlignment="1">
      <alignment horizontal="left" vertical="center"/>
      <protection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30" fillId="0" borderId="25" xfId="123" applyFont="1" applyBorder="1" applyAlignment="1">
      <alignment horizontal="left" vertical="center"/>
      <protection/>
    </xf>
    <xf numFmtId="17" fontId="63" fillId="0" borderId="25" xfId="123" applyNumberFormat="1" applyFont="1" applyBorder="1" applyAlignment="1">
      <alignment horizontal="left" vertical="center"/>
      <protection/>
    </xf>
    <xf numFmtId="17" fontId="30" fillId="0" borderId="25" xfId="123" applyNumberFormat="1" applyFont="1" applyBorder="1" applyAlignment="1">
      <alignment vertical="center"/>
      <protection/>
    </xf>
    <xf numFmtId="38" fontId="27" fillId="0" borderId="25" xfId="85" applyNumberFormat="1" applyFont="1" applyBorder="1" applyAlignment="1">
      <alignment horizontal="left" vertical="center"/>
    </xf>
    <xf numFmtId="0" fontId="30" fillId="0" borderId="64" xfId="123" applyFont="1" applyBorder="1" applyAlignment="1">
      <alignment horizontal="left" vertical="center"/>
      <protection/>
    </xf>
    <xf numFmtId="17" fontId="63" fillId="0" borderId="64" xfId="123" applyNumberFormat="1" applyFont="1" applyBorder="1" applyAlignment="1">
      <alignment horizontal="left" vertical="center"/>
      <protection/>
    </xf>
    <xf numFmtId="17" fontId="30" fillId="0" borderId="64" xfId="123" applyNumberFormat="1" applyFont="1" applyBorder="1" applyAlignment="1">
      <alignment vertical="center"/>
      <protection/>
    </xf>
    <xf numFmtId="38" fontId="27" fillId="0" borderId="64" xfId="85" applyNumberFormat="1" applyFont="1" applyBorder="1" applyAlignment="1">
      <alignment horizontal="left" vertical="center"/>
    </xf>
    <xf numFmtId="38" fontId="27" fillId="0" borderId="54" xfId="81" applyNumberFormat="1" applyFont="1" applyBorder="1" applyAlignment="1">
      <alignment horizontal="left" vertical="center"/>
    </xf>
    <xf numFmtId="0" fontId="23" fillId="0" borderId="30" xfId="0" applyFont="1" applyFill="1" applyBorder="1" applyAlignment="1" quotePrefix="1">
      <alignment horizontal="left" vertical="center"/>
    </xf>
    <xf numFmtId="0" fontId="25" fillId="0" borderId="28" xfId="0" applyFont="1" applyFill="1" applyBorder="1" applyAlignment="1">
      <alignment horizontal="left" vertical="center"/>
    </xf>
    <xf numFmtId="0" fontId="23" fillId="0" borderId="65" xfId="0" applyFont="1" applyFill="1" applyBorder="1" applyAlignment="1" quotePrefix="1">
      <alignment horizontal="left" vertical="center"/>
    </xf>
    <xf numFmtId="0" fontId="30" fillId="0" borderId="66" xfId="0" applyFont="1" applyFill="1" applyBorder="1" applyAlignment="1">
      <alignment vertical="center"/>
    </xf>
    <xf numFmtId="0" fontId="25" fillId="0" borderId="67" xfId="0" applyFont="1" applyFill="1" applyBorder="1" applyAlignment="1">
      <alignment horizontal="centerContinuous" vertical="center"/>
    </xf>
    <xf numFmtId="0" fontId="23" fillId="0" borderId="65" xfId="0" applyFont="1" applyFill="1" applyBorder="1" applyAlignment="1">
      <alignment horizontal="left" vertical="center"/>
    </xf>
    <xf numFmtId="38" fontId="23" fillId="0" borderId="26" xfId="81" applyNumberFormat="1" applyFont="1" applyFill="1" applyBorder="1" applyAlignment="1">
      <alignment horizontal="centerContinuous" vertical="center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3" fillId="0" borderId="58" xfId="0" applyFont="1" applyFill="1" applyBorder="1" applyAlignment="1">
      <alignment horizontal="center" vertical="center"/>
    </xf>
    <xf numFmtId="3" fontId="23" fillId="0" borderId="58" xfId="0" applyNumberFormat="1" applyFont="1" applyFill="1" applyBorder="1" applyAlignment="1">
      <alignment horizontal="right" vertical="center"/>
    </xf>
    <xf numFmtId="3" fontId="23" fillId="0" borderId="28" xfId="0" applyNumberFormat="1" applyFont="1" applyFill="1" applyBorder="1" applyAlignment="1">
      <alignment vertical="center"/>
    </xf>
    <xf numFmtId="3" fontId="23" fillId="0" borderId="58" xfId="0" applyNumberFormat="1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4" fontId="23" fillId="0" borderId="58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right" vertical="center"/>
    </xf>
    <xf numFmtId="0" fontId="23" fillId="0" borderId="28" xfId="166" applyFont="1" applyFill="1" applyBorder="1" applyAlignment="1">
      <alignment vertical="center"/>
      <protection/>
    </xf>
    <xf numFmtId="0" fontId="23" fillId="0" borderId="28" xfId="166" applyFont="1" applyFill="1" applyBorder="1" applyAlignment="1">
      <alignment horizontal="left" vertical="center"/>
      <protection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right" vertical="center"/>
    </xf>
    <xf numFmtId="0" fontId="27" fillId="0" borderId="25" xfId="0" applyFont="1" applyFill="1" applyBorder="1" applyAlignment="1" applyProtection="1">
      <alignment horizontal="left" vertical="center"/>
      <protection/>
    </xf>
    <xf numFmtId="4" fontId="23" fillId="0" borderId="24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4" fontId="23" fillId="0" borderId="20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right" vertical="center"/>
    </xf>
    <xf numFmtId="3" fontId="23" fillId="0" borderId="8" xfId="0" applyNumberFormat="1" applyFont="1" applyFill="1" applyBorder="1" applyAlignment="1">
      <alignment horizontal="right" vertical="center"/>
    </xf>
    <xf numFmtId="4" fontId="23" fillId="0" borderId="8" xfId="0" applyNumberFormat="1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3" fontId="23" fillId="0" borderId="25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vertical="center"/>
    </xf>
    <xf numFmtId="0" fontId="34" fillId="0" borderId="20" xfId="0" applyFont="1" applyFill="1" applyBorder="1" applyAlignment="1">
      <alignment horizontal="center" vertical="center"/>
    </xf>
    <xf numFmtId="3" fontId="25" fillId="0" borderId="8" xfId="0" applyNumberFormat="1" applyFont="1" applyFill="1" applyBorder="1" applyAlignment="1">
      <alignment horizontal="right" vertical="center"/>
    </xf>
    <xf numFmtId="4" fontId="35" fillId="0" borderId="8" xfId="0" applyNumberFormat="1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3" fontId="23" fillId="0" borderId="51" xfId="0" applyNumberFormat="1" applyFont="1" applyFill="1" applyBorder="1" applyAlignment="1">
      <alignment vertical="center"/>
    </xf>
    <xf numFmtId="4" fontId="36" fillId="0" borderId="56" xfId="0" applyNumberFormat="1" applyFont="1" applyFill="1" applyBorder="1" applyAlignment="1">
      <alignment horizontal="center" vertical="center"/>
    </xf>
    <xf numFmtId="4" fontId="36" fillId="0" borderId="58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37" fontId="27" fillId="21" borderId="24" xfId="0" applyNumberFormat="1" applyFont="1" applyFill="1" applyBorder="1" applyAlignment="1" applyProtection="1">
      <alignment vertical="center"/>
      <protection/>
    </xf>
    <xf numFmtId="38" fontId="25" fillId="0" borderId="68" xfId="166" applyNumberFormat="1" applyFont="1" applyBorder="1" applyAlignment="1">
      <alignment horizontal="left" vertical="center"/>
      <protection/>
    </xf>
    <xf numFmtId="38" fontId="30" fillId="0" borderId="69" xfId="86" applyNumberFormat="1" applyFont="1" applyFill="1" applyBorder="1" applyAlignment="1">
      <alignment vertical="center"/>
    </xf>
    <xf numFmtId="38" fontId="33" fillId="0" borderId="70" xfId="86" applyNumberFormat="1" applyFont="1" applyFill="1" applyBorder="1" applyAlignment="1">
      <alignment vertical="center"/>
    </xf>
    <xf numFmtId="0" fontId="64" fillId="0" borderId="0" xfId="127" applyFont="1" applyFill="1" applyAlignment="1">
      <alignment vertical="center"/>
      <protection/>
    </xf>
    <xf numFmtId="0" fontId="62" fillId="0" borderId="24" xfId="0" applyFont="1" applyBorder="1" applyAlignment="1" applyProtection="1">
      <alignment horizontal="center" vertical="center"/>
      <protection/>
    </xf>
    <xf numFmtId="3" fontId="36" fillId="0" borderId="0" xfId="0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37" fontId="36" fillId="0" borderId="0" xfId="0" applyNumberFormat="1" applyFont="1" applyBorder="1" applyAlignment="1" applyProtection="1">
      <alignment vertical="center"/>
      <protection/>
    </xf>
    <xf numFmtId="38" fontId="36" fillId="0" borderId="0" xfId="81" applyNumberFormat="1" applyFont="1" applyAlignment="1">
      <alignment vertical="center"/>
    </xf>
    <xf numFmtId="3" fontId="36" fillId="0" borderId="0" xfId="0" applyNumberFormat="1" applyFont="1" applyFill="1" applyBorder="1" applyAlignment="1">
      <alignment horizontal="right" vertical="center"/>
    </xf>
    <xf numFmtId="37" fontId="36" fillId="0" borderId="0" xfId="0" applyNumberFormat="1" applyFont="1" applyBorder="1" applyAlignment="1" applyProtection="1">
      <alignment horizontal="left" vertical="center"/>
      <protection/>
    </xf>
    <xf numFmtId="37" fontId="35" fillId="0" borderId="0" xfId="0" applyNumberFormat="1" applyFont="1" applyBorder="1" applyAlignment="1" applyProtection="1">
      <alignment vertical="center"/>
      <protection/>
    </xf>
    <xf numFmtId="0" fontId="30" fillId="0" borderId="0" xfId="123" applyFont="1" applyAlignment="1">
      <alignment vertical="center"/>
      <protection/>
    </xf>
    <xf numFmtId="0" fontId="27" fillId="0" borderId="0" xfId="123" applyFont="1" applyAlignment="1">
      <alignment vertical="center"/>
      <protection/>
    </xf>
    <xf numFmtId="192" fontId="30" fillId="0" borderId="31" xfId="0" applyNumberFormat="1" applyFont="1" applyBorder="1" applyAlignment="1" applyProtection="1">
      <alignment vertical="center"/>
      <protection/>
    </xf>
    <xf numFmtId="3" fontId="65" fillId="0" borderId="58" xfId="0" applyNumberFormat="1" applyFont="1" applyFill="1" applyBorder="1" applyAlignment="1">
      <alignment horizontal="right" vertical="center"/>
    </xf>
    <xf numFmtId="3" fontId="65" fillId="0" borderId="24" xfId="0" applyNumberFormat="1" applyFont="1" applyFill="1" applyBorder="1" applyAlignment="1">
      <alignment horizontal="right" vertical="center"/>
    </xf>
    <xf numFmtId="3" fontId="65" fillId="0" borderId="20" xfId="0" applyNumberFormat="1" applyFont="1" applyFill="1" applyBorder="1" applyAlignment="1">
      <alignment horizontal="right" vertical="center"/>
    </xf>
    <xf numFmtId="3" fontId="65" fillId="0" borderId="8" xfId="0" applyNumberFormat="1" applyFont="1" applyFill="1" applyBorder="1" applyAlignment="1">
      <alignment horizontal="right" vertical="center"/>
    </xf>
    <xf numFmtId="3" fontId="66" fillId="0" borderId="8" xfId="0" applyNumberFormat="1" applyFont="1" applyFill="1" applyBorder="1" applyAlignment="1">
      <alignment horizontal="right" vertical="center"/>
    </xf>
    <xf numFmtId="3" fontId="65" fillId="0" borderId="56" xfId="0" applyNumberFormat="1" applyFont="1" applyFill="1" applyBorder="1" applyAlignment="1">
      <alignment horizontal="right" vertical="center"/>
    </xf>
    <xf numFmtId="0" fontId="65" fillId="0" borderId="0" xfId="0" applyFont="1" applyFill="1" applyAlignment="1">
      <alignment vertical="center"/>
    </xf>
    <xf numFmtId="0" fontId="30" fillId="0" borderId="53" xfId="0" applyFont="1" applyBorder="1" applyAlignment="1" applyProtection="1" quotePrefix="1">
      <alignment horizontal="center" vertical="center"/>
      <protection/>
    </xf>
    <xf numFmtId="0" fontId="31" fillId="0" borderId="0" xfId="128" applyFont="1" applyAlignment="1">
      <alignment vertical="center"/>
      <protection/>
    </xf>
    <xf numFmtId="0" fontId="23" fillId="0" borderId="0" xfId="0" applyFont="1" applyAlignment="1">
      <alignment horizontal="left" vertical="center"/>
    </xf>
    <xf numFmtId="0" fontId="31" fillId="0" borderId="0" xfId="123" applyFont="1" applyFill="1" applyAlignment="1">
      <alignment vertical="center"/>
      <protection/>
    </xf>
    <xf numFmtId="0" fontId="27" fillId="0" borderId="0" xfId="123" applyFont="1" applyFill="1" applyAlignment="1">
      <alignment horizontal="left" vertical="center"/>
      <protection/>
    </xf>
    <xf numFmtId="194" fontId="62" fillId="0" borderId="24" xfId="0" applyNumberFormat="1" applyFont="1" applyBorder="1" applyAlignment="1" applyProtection="1">
      <alignment vertical="center"/>
      <protection/>
    </xf>
    <xf numFmtId="39" fontId="62" fillId="0" borderId="24" xfId="0" applyNumberFormat="1" applyFont="1" applyBorder="1" applyAlignment="1" applyProtection="1">
      <alignment vertical="center"/>
      <protection/>
    </xf>
    <xf numFmtId="0" fontId="30" fillId="0" borderId="54" xfId="0" applyFont="1" applyBorder="1" applyAlignment="1" applyProtection="1" quotePrefix="1">
      <alignment horizontal="center" vertical="center"/>
      <protection/>
    </xf>
    <xf numFmtId="49" fontId="30" fillId="0" borderId="25" xfId="124" applyNumberFormat="1" applyFont="1" applyBorder="1" applyAlignment="1">
      <alignment horizontal="left" vertical="center"/>
      <protection/>
    </xf>
    <xf numFmtId="0" fontId="27" fillId="0" borderId="54" xfId="171" applyFont="1" applyBorder="1" applyAlignment="1" quotePrefix="1">
      <alignment horizontal="left" vertical="center"/>
      <protection/>
    </xf>
    <xf numFmtId="0" fontId="27" fillId="0" borderId="54" xfId="171" applyFont="1" applyBorder="1" applyAlignment="1">
      <alignment vertical="center"/>
      <protection/>
    </xf>
    <xf numFmtId="37" fontId="36" fillId="21" borderId="0" xfId="0" applyNumberFormat="1" applyFont="1" applyFill="1" applyBorder="1" applyAlignment="1" applyProtection="1">
      <alignment vertical="center"/>
      <protection/>
    </xf>
    <xf numFmtId="0" fontId="68" fillId="0" borderId="0" xfId="0" applyFont="1" applyFill="1" applyBorder="1" applyAlignment="1">
      <alignment horizontal="left" vertical="center"/>
    </xf>
    <xf numFmtId="38" fontId="27" fillId="0" borderId="64" xfId="86" applyNumberFormat="1" applyFont="1" applyBorder="1" applyAlignment="1">
      <alignment horizontal="left" vertical="center"/>
    </xf>
    <xf numFmtId="0" fontId="30" fillId="0" borderId="0" xfId="123" applyFont="1" applyAlignment="1" quotePrefix="1">
      <alignment horizontal="left" vertical="center"/>
      <protection/>
    </xf>
    <xf numFmtId="0" fontId="23" fillId="0" borderId="0" xfId="0" applyFont="1" applyFill="1" applyAlignment="1" quotePrefix="1">
      <alignment horizontal="left" vertical="center"/>
    </xf>
    <xf numFmtId="0" fontId="70" fillId="0" borderId="25" xfId="0" applyFont="1" applyBorder="1" applyAlignment="1" quotePrefix="1">
      <alignment horizontal="centerContinuous" vertical="center"/>
    </xf>
    <xf numFmtId="0" fontId="30" fillId="0" borderId="68" xfId="0" applyFont="1" applyFill="1" applyBorder="1" applyAlignment="1">
      <alignment vertical="center"/>
    </xf>
    <xf numFmtId="0" fontId="71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>
      <alignment horizontal="left"/>
    </xf>
    <xf numFmtId="38" fontId="23" fillId="0" borderId="54" xfId="157" applyNumberFormat="1" applyFont="1" applyBorder="1" applyAlignment="1">
      <alignment horizontal="center" vertical="center"/>
    </xf>
    <xf numFmtId="38" fontId="30" fillId="0" borderId="25" xfId="86" applyNumberFormat="1" applyFont="1" applyBorder="1" applyAlignment="1">
      <alignment horizontal="left" vertical="center"/>
    </xf>
    <xf numFmtId="38" fontId="30" fillId="0" borderId="54" xfId="86" applyNumberFormat="1" applyFont="1" applyBorder="1" applyAlignment="1">
      <alignment horizontal="left" vertical="center"/>
    </xf>
    <xf numFmtId="38" fontId="27" fillId="0" borderId="27" xfId="81" applyNumberFormat="1" applyFont="1" applyBorder="1" applyAlignment="1" applyProtection="1">
      <alignment horizontal="left" vertical="center"/>
      <protection/>
    </xf>
    <xf numFmtId="38" fontId="27" fillId="0" borderId="24" xfId="81" applyNumberFormat="1" applyFont="1" applyBorder="1" applyAlignment="1">
      <alignment horizontal="center" vertical="center"/>
    </xf>
    <xf numFmtId="38" fontId="27" fillId="0" borderId="24" xfId="81" applyNumberFormat="1" applyFont="1" applyFill="1" applyBorder="1" applyAlignment="1" applyProtection="1">
      <alignment horizontal="right" vertical="center"/>
      <protection/>
    </xf>
    <xf numFmtId="38" fontId="27" fillId="0" borderId="24" xfId="81" applyNumberFormat="1" applyFont="1" applyBorder="1" applyAlignment="1" applyProtection="1">
      <alignment horizontal="right" vertical="center"/>
      <protection/>
    </xf>
    <xf numFmtId="38" fontId="27" fillId="0" borderId="24" xfId="81" applyNumberFormat="1" applyFont="1" applyBorder="1" applyAlignment="1" applyProtection="1">
      <alignment vertical="center"/>
      <protection/>
    </xf>
    <xf numFmtId="0" fontId="31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3" fontId="65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0" fillId="0" borderId="0" xfId="0" applyFont="1" applyBorder="1" applyAlignment="1" applyProtection="1" quotePrefix="1">
      <alignment horizontal="center" vertical="center"/>
      <protection/>
    </xf>
    <xf numFmtId="0" fontId="30" fillId="0" borderId="0" xfId="0" applyFont="1" applyBorder="1" applyAlignment="1">
      <alignment vertical="center"/>
    </xf>
    <xf numFmtId="192" fontId="30" fillId="0" borderId="0" xfId="0" applyNumberFormat="1" applyFont="1" applyBorder="1" applyAlignment="1" applyProtection="1">
      <alignment vertical="center"/>
      <protection/>
    </xf>
    <xf numFmtId="0" fontId="23" fillId="0" borderId="53" xfId="166" applyFont="1" applyBorder="1" applyAlignment="1" quotePrefix="1">
      <alignment horizontal="left" vertical="center"/>
      <protection/>
    </xf>
    <xf numFmtId="0" fontId="28" fillId="0" borderId="54" xfId="166" applyFont="1" applyBorder="1" applyAlignment="1">
      <alignment horizontal="centerContinuous" vertical="center"/>
      <protection/>
    </xf>
    <xf numFmtId="0" fontId="23" fillId="0" borderId="71" xfId="166" applyFont="1" applyBorder="1" applyAlignment="1">
      <alignment horizontal="left" vertical="center"/>
      <protection/>
    </xf>
    <xf numFmtId="0" fontId="23" fillId="0" borderId="54" xfId="166" applyFont="1" applyBorder="1" applyAlignment="1" quotePrefix="1">
      <alignment horizontal="left" vertical="center"/>
      <protection/>
    </xf>
    <xf numFmtId="0" fontId="23" fillId="0" borderId="71" xfId="166" applyFont="1" applyBorder="1" applyAlignment="1" quotePrefix="1">
      <alignment horizontal="left" vertical="center"/>
      <protection/>
    </xf>
    <xf numFmtId="38" fontId="23" fillId="0" borderId="54" xfId="166" applyNumberFormat="1" applyFont="1" applyBorder="1" applyAlignment="1">
      <alignment vertical="center"/>
      <protection/>
    </xf>
    <xf numFmtId="0" fontId="23" fillId="0" borderId="54" xfId="166" applyFont="1" applyBorder="1" applyAlignment="1">
      <alignment horizontal="right" vertical="center"/>
      <protection/>
    </xf>
    <xf numFmtId="0" fontId="23" fillId="0" borderId="72" xfId="166" applyFont="1" applyBorder="1" applyAlignment="1" quotePrefix="1">
      <alignment horizontal="left" vertical="center"/>
      <protection/>
    </xf>
    <xf numFmtId="38" fontId="23" fillId="0" borderId="73" xfId="157" applyNumberFormat="1" applyFont="1" applyBorder="1" applyAlignment="1">
      <alignment horizontal="center" vertical="center"/>
    </xf>
    <xf numFmtId="193" fontId="27" fillId="0" borderId="24" xfId="0" applyNumberFormat="1" applyFont="1" applyBorder="1" applyAlignment="1" applyProtection="1">
      <alignment horizontal="center" vertical="center"/>
      <protection/>
    </xf>
    <xf numFmtId="3" fontId="27" fillId="0" borderId="24" xfId="82" applyNumberFormat="1" applyFont="1" applyFill="1" applyBorder="1" applyAlignment="1" applyProtection="1">
      <alignment vertical="center"/>
      <protection/>
    </xf>
    <xf numFmtId="0" fontId="27" fillId="0" borderId="27" xfId="82" applyNumberFormat="1" applyFont="1" applyBorder="1" applyAlignment="1" applyProtection="1">
      <alignment horizontal="left" vertical="center"/>
      <protection/>
    </xf>
    <xf numFmtId="194" fontId="27" fillId="0" borderId="24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>
      <alignment/>
    </xf>
    <xf numFmtId="0" fontId="33" fillId="0" borderId="0" xfId="0" applyFont="1" applyFill="1" applyBorder="1" applyAlignment="1">
      <alignment horizontal="center" vertical="center"/>
    </xf>
    <xf numFmtId="38" fontId="33" fillId="0" borderId="0" xfId="81" applyNumberFormat="1" applyFont="1" applyFill="1" applyBorder="1" applyAlignment="1">
      <alignment horizontal="center" vertical="center"/>
    </xf>
    <xf numFmtId="40" fontId="36" fillId="0" borderId="0" xfId="81" applyFont="1" applyAlignment="1">
      <alignment vertical="center"/>
    </xf>
    <xf numFmtId="0" fontId="27" fillId="0" borderId="0" xfId="126" applyFont="1" applyAlignment="1">
      <alignment horizontal="center"/>
      <protection/>
    </xf>
    <xf numFmtId="0" fontId="33" fillId="0" borderId="29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38" fontId="33" fillId="0" borderId="29" xfId="81" applyNumberFormat="1" applyFont="1" applyFill="1" applyBorder="1" applyAlignment="1">
      <alignment horizontal="center" vertical="center"/>
    </xf>
    <xf numFmtId="38" fontId="33" fillId="0" borderId="4" xfId="81" applyNumberFormat="1" applyFont="1" applyFill="1" applyBorder="1" applyAlignment="1">
      <alignment horizontal="center" vertical="center"/>
    </xf>
    <xf numFmtId="38" fontId="33" fillId="0" borderId="57" xfId="81" applyNumberFormat="1" applyFont="1" applyFill="1" applyBorder="1" applyAlignment="1">
      <alignment horizontal="center" vertical="center"/>
    </xf>
    <xf numFmtId="0" fontId="69" fillId="0" borderId="0" xfId="124" applyFont="1" applyAlignment="1">
      <alignment horizontal="center" vertical="center"/>
      <protection/>
    </xf>
    <xf numFmtId="0" fontId="25" fillId="0" borderId="29" xfId="124" applyFont="1" applyBorder="1" applyAlignment="1" applyProtection="1">
      <alignment horizontal="center" vertical="center"/>
      <protection locked="0"/>
    </xf>
    <xf numFmtId="0" fontId="25" fillId="0" borderId="57" xfId="124" applyFont="1" applyBorder="1" applyAlignment="1" applyProtection="1">
      <alignment horizontal="center" vertical="center"/>
      <protection locked="0"/>
    </xf>
    <xf numFmtId="0" fontId="25" fillId="0" borderId="14" xfId="124" applyFont="1" applyBorder="1" applyAlignment="1" applyProtection="1">
      <alignment horizontal="center" vertical="center"/>
      <protection locked="0"/>
    </xf>
    <xf numFmtId="0" fontId="25" fillId="0" borderId="15" xfId="124" applyFont="1" applyBorder="1" applyAlignment="1" applyProtection="1">
      <alignment horizontal="center" vertical="center"/>
      <protection locked="0"/>
    </xf>
    <xf numFmtId="38" fontId="33" fillId="0" borderId="74" xfId="86" applyNumberFormat="1" applyFont="1" applyFill="1" applyBorder="1" applyAlignment="1">
      <alignment horizontal="center" vertical="center"/>
    </xf>
    <xf numFmtId="38" fontId="33" fillId="0" borderId="55" xfId="86" applyNumberFormat="1" applyFont="1" applyFill="1" applyBorder="1" applyAlignment="1">
      <alignment horizontal="center" vertical="center"/>
    </xf>
    <xf numFmtId="3" fontId="30" fillId="0" borderId="50" xfId="124" applyNumberFormat="1" applyFont="1" applyFill="1" applyBorder="1" applyAlignment="1">
      <alignment horizontal="center" vertical="center"/>
      <protection/>
    </xf>
    <xf numFmtId="3" fontId="30" fillId="0" borderId="33" xfId="124" applyNumberFormat="1" applyFont="1" applyFill="1" applyBorder="1" applyAlignment="1">
      <alignment horizontal="center" vertical="center"/>
      <protection/>
    </xf>
    <xf numFmtId="3" fontId="30" fillId="0" borderId="27" xfId="124" applyNumberFormat="1" applyFont="1" applyFill="1" applyBorder="1" applyAlignment="1">
      <alignment horizontal="center" vertical="center"/>
      <protection/>
    </xf>
    <xf numFmtId="3" fontId="30" fillId="0" borderId="26" xfId="124" applyNumberFormat="1" applyFont="1" applyFill="1" applyBorder="1" applyAlignment="1">
      <alignment horizontal="center" vertical="center"/>
      <protection/>
    </xf>
    <xf numFmtId="0" fontId="67" fillId="0" borderId="23" xfId="0" applyFont="1" applyFill="1" applyBorder="1" applyAlignment="1">
      <alignment horizontal="center" vertical="center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3" fillId="0" borderId="57" xfId="0" applyFont="1" applyFill="1" applyBorder="1" applyAlignment="1" applyProtection="1">
      <alignment horizontal="center" vertical="center"/>
      <protection locked="0"/>
    </xf>
    <xf numFmtId="0" fontId="30" fillId="0" borderId="50" xfId="0" applyFont="1" applyFill="1" applyBorder="1" applyAlignment="1">
      <alignment horizontal="left" vertical="center"/>
    </xf>
    <xf numFmtId="0" fontId="30" fillId="0" borderId="51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>
      <alignment horizontal="left" vertical="center"/>
    </xf>
    <xf numFmtId="0" fontId="25" fillId="0" borderId="33" xfId="0" applyFont="1" applyFill="1" applyBorder="1" applyAlignment="1">
      <alignment horizontal="left" vertical="center"/>
    </xf>
    <xf numFmtId="0" fontId="30" fillId="0" borderId="30" xfId="0" applyFont="1" applyFill="1" applyBorder="1" applyAlignment="1">
      <alignment horizontal="left" vertical="center"/>
    </xf>
    <xf numFmtId="0" fontId="30" fillId="0" borderId="28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left" vertical="center"/>
    </xf>
    <xf numFmtId="0" fontId="30" fillId="0" borderId="27" xfId="0" applyFont="1" applyBorder="1" applyAlignment="1" applyProtection="1" quotePrefix="1">
      <alignment horizontal="center" vertical="center"/>
      <protection/>
    </xf>
    <xf numFmtId="0" fontId="30" fillId="0" borderId="26" xfId="0" applyFont="1" applyBorder="1" applyAlignment="1" applyProtection="1" quotePrefix="1">
      <alignment horizontal="center" vertical="center"/>
      <protection/>
    </xf>
    <xf numFmtId="0" fontId="33" fillId="0" borderId="23" xfId="165" applyFont="1" applyFill="1" applyBorder="1" applyAlignment="1">
      <alignment horizontal="center" vertical="center"/>
      <protection/>
    </xf>
    <xf numFmtId="0" fontId="25" fillId="0" borderId="16" xfId="166" applyFont="1" applyFill="1" applyBorder="1" applyAlignment="1">
      <alignment horizontal="center" vertical="center"/>
      <protection/>
    </xf>
    <xf numFmtId="0" fontId="25" fillId="0" borderId="15" xfId="166" applyFont="1" applyFill="1" applyBorder="1" applyAlignment="1">
      <alignment horizontal="center" vertical="center"/>
      <protection/>
    </xf>
    <xf numFmtId="38" fontId="25" fillId="0" borderId="68" xfId="166" applyNumberFormat="1" applyFont="1" applyBorder="1" applyAlignment="1">
      <alignment horizontal="center" vertical="center"/>
      <protection/>
    </xf>
    <xf numFmtId="38" fontId="25" fillId="0" borderId="26" xfId="166" applyNumberFormat="1" applyFont="1" applyBorder="1" applyAlignment="1">
      <alignment horizontal="center" vertical="center"/>
      <protection/>
    </xf>
    <xf numFmtId="0" fontId="39" fillId="0" borderId="3" xfId="164" applyFont="1" applyFill="1" applyBorder="1">
      <alignment/>
      <protection/>
    </xf>
    <xf numFmtId="0" fontId="41" fillId="9" borderId="34" xfId="164" applyFont="1" applyFill="1" applyBorder="1" applyAlignment="1">
      <alignment horizontal="center"/>
      <protection/>
    </xf>
    <xf numFmtId="0" fontId="41" fillId="9" borderId="36" xfId="164" applyFont="1" applyFill="1" applyBorder="1" applyAlignment="1">
      <alignment horizontal="center"/>
      <protection/>
    </xf>
    <xf numFmtId="0" fontId="41" fillId="9" borderId="35" xfId="164" applyFont="1" applyFill="1" applyBorder="1" applyAlignment="1">
      <alignment horizontal="center"/>
      <protection/>
    </xf>
    <xf numFmtId="0" fontId="41" fillId="3" borderId="43" xfId="164" applyFont="1" applyFill="1" applyBorder="1" applyAlignment="1">
      <alignment horizontal="center" vertical="center" wrapText="1"/>
      <protection/>
    </xf>
    <xf numFmtId="0" fontId="41" fillId="3" borderId="48" xfId="164" applyFont="1" applyFill="1" applyBorder="1" applyAlignment="1">
      <alignment horizontal="center" vertical="center"/>
      <protection/>
    </xf>
    <xf numFmtId="0" fontId="41" fillId="3" borderId="44" xfId="164" applyFont="1" applyFill="1" applyBorder="1" applyAlignment="1">
      <alignment horizontal="center" vertical="center" wrapText="1"/>
      <protection/>
    </xf>
    <xf numFmtId="0" fontId="41" fillId="3" borderId="44" xfId="164" applyFont="1" applyFill="1" applyBorder="1" applyAlignment="1">
      <alignment horizontal="center" vertical="center"/>
      <protection/>
    </xf>
    <xf numFmtId="0" fontId="41" fillId="3" borderId="42" xfId="164" applyFont="1" applyFill="1" applyBorder="1" applyAlignment="1">
      <alignment horizontal="center" vertical="center"/>
      <protection/>
    </xf>
    <xf numFmtId="0" fontId="41" fillId="3" borderId="45" xfId="164" applyFont="1" applyFill="1" applyBorder="1" applyAlignment="1">
      <alignment horizontal="center" vertical="center"/>
      <protection/>
    </xf>
    <xf numFmtId="0" fontId="41" fillId="3" borderId="49" xfId="164" applyFont="1" applyFill="1" applyBorder="1" applyAlignment="1">
      <alignment horizontal="center" vertical="center"/>
      <protection/>
    </xf>
    <xf numFmtId="0" fontId="43" fillId="17" borderId="37" xfId="109" applyFill="1" applyBorder="1" applyAlignment="1" applyProtection="1">
      <alignment horizontal="center"/>
      <protection/>
    </xf>
    <xf numFmtId="0" fontId="39" fillId="17" borderId="38" xfId="164" applyFont="1" applyFill="1" applyBorder="1" applyAlignment="1" applyProtection="1">
      <alignment horizontal="center"/>
      <protection/>
    </xf>
    <xf numFmtId="211" fontId="45" fillId="11" borderId="8" xfId="156" applyFont="1" applyFill="1" applyBorder="1" applyAlignment="1">
      <alignment/>
    </xf>
    <xf numFmtId="224" fontId="39" fillId="2" borderId="0" xfId="156" applyNumberFormat="1" applyFont="1" applyFill="1" applyBorder="1" applyAlignment="1">
      <alignment/>
    </xf>
    <xf numFmtId="211" fontId="42" fillId="21" borderId="8" xfId="156" applyFont="1" applyFill="1" applyBorder="1" applyAlignment="1" applyProtection="1">
      <alignment/>
      <protection locked="0"/>
    </xf>
    <xf numFmtId="224" fontId="44" fillId="23" borderId="8" xfId="156" applyNumberFormat="1" applyFont="1" applyFill="1" applyBorder="1" applyAlignment="1">
      <alignment/>
    </xf>
    <xf numFmtId="40" fontId="27" fillId="0" borderId="0" xfId="81" applyFont="1" applyAlignment="1">
      <alignment vertical="center"/>
    </xf>
    <xf numFmtId="236" fontId="27" fillId="0" borderId="0" xfId="0" applyNumberFormat="1" applyFont="1" applyAlignment="1">
      <alignment vertical="center"/>
    </xf>
    <xf numFmtId="40" fontId="27" fillId="0" borderId="0" xfId="0" applyNumberFormat="1" applyFont="1" applyAlignment="1">
      <alignment vertical="center"/>
    </xf>
  </cellXfs>
  <cellStyles count="170">
    <cellStyle name="Normal" xfId="0"/>
    <cellStyle name=",;F'KOIT[[WAAHK" xfId="15"/>
    <cellStyle name="?? [0]_PERSONAL" xfId="16"/>
    <cellStyle name="???? [0.00]_????" xfId="17"/>
    <cellStyle name="??????[0]_PERSONAL" xfId="18"/>
    <cellStyle name="??????PERSONAL" xfId="19"/>
    <cellStyle name="?????[0]_PERSONAL" xfId="20"/>
    <cellStyle name="?????PERSONAL" xfId="21"/>
    <cellStyle name="????_????" xfId="22"/>
    <cellStyle name="???[0]_PERSONAL" xfId="23"/>
    <cellStyle name="???_PERSONAL" xfId="24"/>
    <cellStyle name="??_??" xfId="25"/>
    <cellStyle name="?@??laroux" xfId="26"/>
    <cellStyle name="=C:\WINDOWS\SYSTEM32\COMMAND.COM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ส่วนที่ถูกเน้น1" xfId="34"/>
    <cellStyle name="20% - ส่วนที่ถูกเน้น2" xfId="35"/>
    <cellStyle name="20% - ส่วนที่ถูกเน้น3" xfId="36"/>
    <cellStyle name="20% - ส่วนที่ถูกเน้น4" xfId="37"/>
    <cellStyle name="20% - ส่วนที่ถูกเน้น5" xfId="38"/>
    <cellStyle name="20% - ส่วนที่ถูกเน้น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ส่วนที่ถูกเน้น1" xfId="46"/>
    <cellStyle name="40% - ส่วนที่ถูกเน้น2" xfId="47"/>
    <cellStyle name="40% - ส่วนที่ถูกเน้น3" xfId="48"/>
    <cellStyle name="40% - ส่วนที่ถูกเน้น4" xfId="49"/>
    <cellStyle name="40% - ส่วนที่ถูกเน้น5" xfId="50"/>
    <cellStyle name="40% - ส่วนที่ถูกเน้น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ส่วนที่ถูกเน้น1" xfId="58"/>
    <cellStyle name="60% - ส่วนที่ถูกเน้น2" xfId="59"/>
    <cellStyle name="60% - ส่วนที่ถูกเน้น3" xfId="60"/>
    <cellStyle name="60% - ส่วนที่ถูกเน้น4" xfId="61"/>
    <cellStyle name="60% - ส่วนที่ถูกเน้น5" xfId="62"/>
    <cellStyle name="60% - ส่วนที่ถูกเน้น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1)" xfId="74"/>
    <cellStyle name="Calc Percent (2)" xfId="75"/>
    <cellStyle name="Calc Units (0)" xfId="76"/>
    <cellStyle name="Calc Units (1)" xfId="77"/>
    <cellStyle name="Calc Units (2)" xfId="78"/>
    <cellStyle name="Calculation" xfId="79"/>
    <cellStyle name="Check Cell" xfId="80"/>
    <cellStyle name="Comma" xfId="81"/>
    <cellStyle name="Comma [0]" xfId="82"/>
    <cellStyle name="Comma [00]" xfId="83"/>
    <cellStyle name="Comma 2" xfId="84"/>
    <cellStyle name="Comma_แบบตารางใหม่" xfId="85"/>
    <cellStyle name="Comma_แบบตารางใหม่ 2" xfId="86"/>
    <cellStyle name="Currency" xfId="87"/>
    <cellStyle name="Currency [0]" xfId="88"/>
    <cellStyle name="Currency [00]" xfId="89"/>
    <cellStyle name="Date" xfId="90"/>
    <cellStyle name="Date Short" xfId="91"/>
    <cellStyle name="Date_55-9635 &amp; ข 50-มค-55" xfId="92"/>
    <cellStyle name="Enter Currency (0)" xfId="93"/>
    <cellStyle name="Enter Currency (2)" xfId="94"/>
    <cellStyle name="Enter Units (0)" xfId="95"/>
    <cellStyle name="Enter Units (1)" xfId="96"/>
    <cellStyle name="Enter Units (2)" xfId="97"/>
    <cellStyle name="Explanatory Text" xfId="98"/>
    <cellStyle name="Followed Hyperlink" xfId="99"/>
    <cellStyle name="Good" xfId="100"/>
    <cellStyle name="Grey" xfId="101"/>
    <cellStyle name="Header1" xfId="102"/>
    <cellStyle name="Header2" xfId="103"/>
    <cellStyle name="Heading 1" xfId="104"/>
    <cellStyle name="Heading 2" xfId="105"/>
    <cellStyle name="Heading 3" xfId="106"/>
    <cellStyle name="Heading 4" xfId="107"/>
    <cellStyle name="Hyperlink" xfId="108"/>
    <cellStyle name="Hyperlink_Factor_2550_V2_0_7% -โยธาไทย" xfId="109"/>
    <cellStyle name="Input" xfId="110"/>
    <cellStyle name="Input [yellow]" xfId="111"/>
    <cellStyle name="Link Currency (0)" xfId="112"/>
    <cellStyle name="Link Currency (2)" xfId="113"/>
    <cellStyle name="Link Units (0)" xfId="114"/>
    <cellStyle name="Link Units (1)" xfId="115"/>
    <cellStyle name="Link Units (2)" xfId="116"/>
    <cellStyle name="Linked Cell" xfId="117"/>
    <cellStyle name="Neutral" xfId="118"/>
    <cellStyle name="New Times Roman" xfId="119"/>
    <cellStyle name="Normal - Style1" xfId="120"/>
    <cellStyle name="Normal 2" xfId="121"/>
    <cellStyle name="Normal_10051 &amp; ข 38-39-40 -มีค-50 2" xfId="122"/>
    <cellStyle name="Normal_แบบตารางใหม่" xfId="123"/>
    <cellStyle name="Normal_แบบตารางใหม่ 2" xfId="124"/>
    <cellStyle name="Normal_แบบตารางใหม่ -กลุ่ม 3" xfId="125"/>
    <cellStyle name="Normal_แบบตารางใหม่ -กลุ่ม 3 2" xfId="126"/>
    <cellStyle name="Normal_แบบตารางใหม่_54-8079 (สค-54)" xfId="127"/>
    <cellStyle name="Normal_แบบตารางใหม่_55-10770 -อาคารห้องเครื่อง" xfId="128"/>
    <cellStyle name="Note" xfId="129"/>
    <cellStyle name="Output" xfId="130"/>
    <cellStyle name="ParaBirimi [0]_RESULTS" xfId="131"/>
    <cellStyle name="ParaBirimi_RESULTS" xfId="132"/>
    <cellStyle name="Percent" xfId="133"/>
    <cellStyle name="Percent [0]" xfId="134"/>
    <cellStyle name="Percent [00]" xfId="135"/>
    <cellStyle name="Percent [2]" xfId="136"/>
    <cellStyle name="Percent 2" xfId="137"/>
    <cellStyle name="PrePop Currency (0)" xfId="138"/>
    <cellStyle name="PrePop Currency (2)" xfId="139"/>
    <cellStyle name="PrePop Units (0)" xfId="140"/>
    <cellStyle name="PrePop Units (1)" xfId="141"/>
    <cellStyle name="PrePop Units (2)" xfId="142"/>
    <cellStyle name="Style 1" xfId="143"/>
    <cellStyle name="Text Indent A" xfId="144"/>
    <cellStyle name="Text Indent B" xfId="145"/>
    <cellStyle name="Text Indent C" xfId="146"/>
    <cellStyle name="Title" xfId="147"/>
    <cellStyle name="Total" xfId="148"/>
    <cellStyle name="Virg? [0]_RESULTS" xfId="149"/>
    <cellStyle name="Virg?_RESULTS" xfId="150"/>
    <cellStyle name="Warning Text" xfId="151"/>
    <cellStyle name="การคำนวณ" xfId="152"/>
    <cellStyle name="ข้อความเตือน" xfId="153"/>
    <cellStyle name="ข้อความอธิบาย" xfId="154"/>
    <cellStyle name="เครื่องหมายจุลภาค_54-8170-36" xfId="155"/>
    <cellStyle name="เครื่องหมายจุลภาค_Factor_2550_V2_0_7% -โยธาไทย" xfId="156"/>
    <cellStyle name="เครื่องหมายจุลภาค_อาคาร สนง.ระบบบริการการแพทย์ฉุกเฉิน 10252" xfId="157"/>
    <cellStyle name="ชื่อเรื่อง" xfId="158"/>
    <cellStyle name="เชื่อมโยงหลายมิติ" xfId="159"/>
    <cellStyle name="เซลล์ตรวจสอบ" xfId="160"/>
    <cellStyle name="เซลล์ที่มีการเชื่อมโยง" xfId="161"/>
    <cellStyle name="ดี" xfId="162"/>
    <cellStyle name="ตามการเชื่อมโยงหลายมิติ" xfId="163"/>
    <cellStyle name="ปกติ_Factor_2550_V2_0_7% -โยธาไทย" xfId="164"/>
    <cellStyle name="ปกติ_ข 24-กพ-47 " xfId="165"/>
    <cellStyle name="ปกติ_อาคาร สนง.ระบบบริการการแพทย์ฉุกเฉิน 10252" xfId="166"/>
    <cellStyle name="ป้อนค่า" xfId="167"/>
    <cellStyle name="ปานกลาง" xfId="168"/>
    <cellStyle name="ผลรวม" xfId="169"/>
    <cellStyle name="แย่" xfId="170"/>
    <cellStyle name="ลักษณะ 1" xfId="171"/>
    <cellStyle name="ส่วนที่ถูกเน้น1" xfId="172"/>
    <cellStyle name="ส่วนที่ถูกเน้น2" xfId="173"/>
    <cellStyle name="ส่วนที่ถูกเน้น3" xfId="174"/>
    <cellStyle name="ส่วนที่ถูกเน้น4" xfId="175"/>
    <cellStyle name="ส่วนที่ถูกเน้น5" xfId="176"/>
    <cellStyle name="ส่วนที่ถูกเน้น6" xfId="177"/>
    <cellStyle name="แสดงผล" xfId="178"/>
    <cellStyle name="หมายเหตุ" xfId="179"/>
    <cellStyle name="หัวเรื่อง 1" xfId="180"/>
    <cellStyle name="หัวเรื่อง 2" xfId="181"/>
    <cellStyle name="หัวเรื่อง 3" xfId="182"/>
    <cellStyle name="หัวเรื่อง 4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76200</xdr:rowOff>
    </xdr:from>
    <xdr:to>
      <xdr:col>1</xdr:col>
      <xdr:colOff>276225</xdr:colOff>
      <xdr:row>1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314325" y="53340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2</xdr:row>
      <xdr:rowOff>76200</xdr:rowOff>
    </xdr:from>
    <xdr:to>
      <xdr:col>1</xdr:col>
      <xdr:colOff>276225</xdr:colOff>
      <xdr:row>2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314325" y="8191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3</xdr:row>
      <xdr:rowOff>76200</xdr:rowOff>
    </xdr:from>
    <xdr:to>
      <xdr:col>1</xdr:col>
      <xdr:colOff>276225</xdr:colOff>
      <xdr:row>3</xdr:row>
      <xdr:rowOff>190500</xdr:rowOff>
    </xdr:to>
    <xdr:sp>
      <xdr:nvSpPr>
        <xdr:cNvPr id="3" name="Rectangle 4"/>
        <xdr:cNvSpPr>
          <a:spLocks/>
        </xdr:cNvSpPr>
      </xdr:nvSpPr>
      <xdr:spPr>
        <a:xfrm>
          <a:off x="314325" y="110490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76200</xdr:rowOff>
    </xdr:from>
    <xdr:to>
      <xdr:col>1</xdr:col>
      <xdr:colOff>276225</xdr:colOff>
      <xdr:row>4</xdr:row>
      <xdr:rowOff>190500</xdr:rowOff>
    </xdr:to>
    <xdr:sp>
      <xdr:nvSpPr>
        <xdr:cNvPr id="4" name="Rectangle 5"/>
        <xdr:cNvSpPr>
          <a:spLocks/>
        </xdr:cNvSpPr>
      </xdr:nvSpPr>
      <xdr:spPr>
        <a:xfrm>
          <a:off x="314325" y="13906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5</xdr:row>
      <xdr:rowOff>76200</xdr:rowOff>
    </xdr:from>
    <xdr:to>
      <xdr:col>1</xdr:col>
      <xdr:colOff>276225</xdr:colOff>
      <xdr:row>5</xdr:row>
      <xdr:rowOff>190500</xdr:rowOff>
    </xdr:to>
    <xdr:sp>
      <xdr:nvSpPr>
        <xdr:cNvPr id="5" name="Rectangle 6"/>
        <xdr:cNvSpPr>
          <a:spLocks/>
        </xdr:cNvSpPr>
      </xdr:nvSpPr>
      <xdr:spPr>
        <a:xfrm>
          <a:off x="314325" y="167640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180975</xdr:colOff>
      <xdr:row>22</xdr:row>
      <xdr:rowOff>114300</xdr:rowOff>
    </xdr:from>
    <xdr:to>
      <xdr:col>1</xdr:col>
      <xdr:colOff>285750</xdr:colOff>
      <xdr:row>22</xdr:row>
      <xdr:rowOff>228600</xdr:rowOff>
    </xdr:to>
    <xdr:sp>
      <xdr:nvSpPr>
        <xdr:cNvPr id="6" name="Rectangle 8"/>
        <xdr:cNvSpPr>
          <a:spLocks/>
        </xdr:cNvSpPr>
      </xdr:nvSpPr>
      <xdr:spPr>
        <a:xfrm>
          <a:off x="323850" y="6543675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76200</xdr:rowOff>
    </xdr:from>
    <xdr:to>
      <xdr:col>1</xdr:col>
      <xdr:colOff>276225</xdr:colOff>
      <xdr:row>8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314325" y="25336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6</xdr:row>
      <xdr:rowOff>76200</xdr:rowOff>
    </xdr:from>
    <xdr:to>
      <xdr:col>1</xdr:col>
      <xdr:colOff>276225</xdr:colOff>
      <xdr:row>6</xdr:row>
      <xdr:rowOff>190500</xdr:rowOff>
    </xdr:to>
    <xdr:sp>
      <xdr:nvSpPr>
        <xdr:cNvPr id="8" name="Rectangle 6"/>
        <xdr:cNvSpPr>
          <a:spLocks/>
        </xdr:cNvSpPr>
      </xdr:nvSpPr>
      <xdr:spPr>
        <a:xfrm>
          <a:off x="314325" y="19621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7</xdr:row>
      <xdr:rowOff>76200</xdr:rowOff>
    </xdr:from>
    <xdr:to>
      <xdr:col>1</xdr:col>
      <xdr:colOff>276225</xdr:colOff>
      <xdr:row>7</xdr:row>
      <xdr:rowOff>190500</xdr:rowOff>
    </xdr:to>
    <xdr:sp>
      <xdr:nvSpPr>
        <xdr:cNvPr id="9" name="Rectangle 6"/>
        <xdr:cNvSpPr>
          <a:spLocks/>
        </xdr:cNvSpPr>
      </xdr:nvSpPr>
      <xdr:spPr>
        <a:xfrm>
          <a:off x="314325" y="224790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5</xdr:col>
      <xdr:colOff>485775</xdr:colOff>
      <xdr:row>8</xdr:row>
      <xdr:rowOff>85725</xdr:rowOff>
    </xdr:from>
    <xdr:to>
      <xdr:col>5</xdr:col>
      <xdr:colOff>590550</xdr:colOff>
      <xdr:row>8</xdr:row>
      <xdr:rowOff>200025</xdr:rowOff>
    </xdr:to>
    <xdr:sp>
      <xdr:nvSpPr>
        <xdr:cNvPr id="10" name="Rectangle 8"/>
        <xdr:cNvSpPr>
          <a:spLocks/>
        </xdr:cNvSpPr>
      </xdr:nvSpPr>
      <xdr:spPr>
        <a:xfrm>
          <a:off x="3381375" y="2543175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</xdr:row>
      <xdr:rowOff>200025</xdr:rowOff>
    </xdr:from>
    <xdr:to>
      <xdr:col>2</xdr:col>
      <xdr:colOff>438150</xdr:colOff>
      <xdr:row>4</xdr:row>
      <xdr:rowOff>142875</xdr:rowOff>
    </xdr:to>
    <xdr:pic>
      <xdr:nvPicPr>
        <xdr:cNvPr id="1" name="Picture 1" descr="thaifl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0957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INDOWS\TEMP\&#3648;&#3626;&#3609;&#3629;&#3619;&#3634;&#3588;&#3634;-%20(&#3626;&#3641;&#3605;&#3619;)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\Share%20file%20DPT\&#3591;&#3634;&#3609;&#3619;&#3634;&#3594;&#3585;&#3634;&#3619;\&#3619;&#3634;&#3594;&#3585;&#3634;&#3619;\&#3585;&#3619;&#3617;&#3605;&#3656;&#3634;&#3591;&#3654;\&#3626;&#3635;&#3609;&#3633;&#3585;&#3591;&#3634;&#3609;&#3611;&#3621;&#3633;&#3604;&#3631;\&#3627;&#3657;&#3629;&#3591;&#3611;&#3619;&#3632;&#3594;&#3640;&#3617;%20&#3626;&#3606;&#3634;&#3610;&#3633;&#3609;&#3614;&#3619;&#3632;&#3610;&#3619;&#3617;&#3619;&#3634;&#3594;&#3609;&#3585;%201035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\Share%20file%20DPT\Users\KTB%20Leasing03\Desktop\55-9025%20(&#3648;&#3617;&#3618;-5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laya2\d_salaya2\WINDOWS\TEMP\Cost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rangrut\d\New%20%20Folder(2)\&#3591;&#3634;&#3609;&#3586;&#3629;&#3591;&#3626;&#3640;&#3619;&#3634;&#3591;&#3588;&#3660;&#3619;&#3633;&#3605;&#3609;&#3660;\&#3649;&#3610;&#3610;&#3615;&#3619;&#3629;&#3617;&#3660;%20BOQ\backup\lrm\load%20%20schedul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\Share%20file%20DPT\&#3619;&#3634;&#3594;&#3585;&#3634;&#3619;\&#3649;&#3592;&#3657;&#3591;&#3619;&#3634;&#3588;&#3634;&#3591;&#3610;%2055\55-8709%20(&#3617;&#3588;-55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\Share%20file%20DPT\&#3652;&#3585;&#3619;&#3626;&#3641;&#3619;&#3618;&#3660;\&#3585;&#3621;&#3640;&#3656;&#3617;&#3585;&#3635;&#3585;&#3633;&#3610;&#3631;%204\&#3591;&#3634;&#3609;&#3591;&#3610;&#3611;&#3637;%2056\&#3619;&#3634;&#3588;&#3634;&#3585;&#3621;&#3634;&#3591;&#3617;&#3634;&#3605;&#3619;&#3600;&#3634;&#3609;\&#3619;&#3634;&#3588;&#3634;&#3648;&#3627;&#3621;&#3655;&#3585;%20&#3611;&#3619;&#3632;&#3592;&#3635;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ankofThailand"/>
      <sheetName val="TAC"/>
      <sheetName val="รามไทย"/>
      <sheetName val="FORM"/>
      <sheetName val="Quote"/>
      <sheetName val="ตามลูกค้าต้องการ"/>
      <sheetName val="ราคาหนังแท้-เทีย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ใบสรุปราคา"/>
      <sheetName val="สรุปหมวดงาน"/>
      <sheetName val="boq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 อาคาร"/>
      <sheetName val="ใบสรุปราคา"/>
      <sheetName val="สรุปส่วนงาน"/>
      <sheetName val="BOQ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ศูนย์การแพทย์"/>
      <sheetName val="หอพักผู้ป่วย"/>
      <sheetName val="อาคารบริการ"/>
      <sheetName val="สรศป"/>
      <sheetName val="Cost2"/>
      <sheetName val="FR"/>
      <sheetName val="Sheet1"/>
      <sheetName val="산근"/>
      <sheetName val="#REF"/>
      <sheetName val="封面 "/>
      <sheetName val="粉刷"/>
      <sheetName val="裝修"/>
      <sheetName val="風管工程"/>
      <sheetName val="合約價"/>
      <sheetName val="วัดใต้"/>
      <sheetName val="ราคาต่อหน่วย2-9"/>
      <sheetName val="รวมราคาทั้งสิ้น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ELA"/>
      <sheetName val="LOAD-GEPA"/>
      <sheetName val="LOAD-GLA (2)"/>
      <sheetName val="FORM"/>
      <sheetName val="LOAD"/>
      <sheetName val="LOTUS-EE2"/>
      <sheetName val="LOTUS-EE1"/>
      <sheetName val="LOAD-GELA"/>
      <sheetName val="GLA"/>
      <sheetName val="LOAD-GLA"/>
      <sheetName val="GLD"/>
      <sheetName val="GELD"/>
      <sheetName val="LOAD-GELD"/>
      <sheetName val="2LA"/>
      <sheetName val="2LB"/>
      <sheetName val="LOAD-2LB"/>
      <sheetName val="2LC"/>
      <sheetName val="2PA"/>
      <sheetName val="LOAD-2PA"/>
      <sheetName val="2PB"/>
      <sheetName val="2PC"/>
      <sheetName val="LOAD-2PC"/>
      <sheetName val="PPB"/>
      <sheetName val="PPM"/>
      <sheetName val="LOAD-PPM"/>
      <sheetName val="PPS"/>
      <sheetName val="PPT"/>
      <sheetName val="LOAD-PPT"/>
      <sheetName val="2ELA"/>
      <sheetName val="2ELB"/>
      <sheetName val="LOAD-2ELB"/>
      <sheetName val="2ELC"/>
      <sheetName val="2EPP"/>
      <sheetName val="LOAD-2EPP"/>
      <sheetName val="2EPB"/>
      <sheetName val="2EPC1"/>
      <sheetName val="LOAD-2EPC1"/>
      <sheetName val="2EPA"/>
      <sheetName val="2EPC"/>
      <sheetName val="LOAD-2EPC2"/>
      <sheetName val="2UB"/>
      <sheetName val="2UC"/>
      <sheetName val="LOAD-2UC"/>
      <sheetName val="3LA"/>
      <sheetName val="3LC"/>
      <sheetName val="LOAD-3LC"/>
      <sheetName val="3PA"/>
      <sheetName val="3PB"/>
      <sheetName val="LOAD-3PB"/>
      <sheetName val="3PC"/>
      <sheetName val="PFC"/>
      <sheetName val="LOAD-PFC"/>
      <sheetName val="PHD"/>
      <sheetName val="PDW"/>
      <sheetName val="LOAD-PDW"/>
      <sheetName val="3EPA"/>
      <sheetName val="3EPC"/>
      <sheetName val="LOAD-3EPC"/>
      <sheetName val="3UA"/>
      <sheetName val="3UC"/>
      <sheetName val="LOAD-3UC)"/>
      <sheetName val="3ELA"/>
      <sheetName val="3ELB"/>
      <sheetName val="LOAD-3ELB"/>
      <sheetName val="3ELC"/>
      <sheetName val="HARDWARE"/>
      <sheetName val="LOAD-HARDWARE"/>
      <sheetName val="GS (4)"/>
      <sheetName val="VDO"/>
      <sheetName val="LOAD-VDO"/>
      <sheetName val="FC"/>
      <sheetName val="GS (1)"/>
      <sheetName val="LOAD-GS(1)"/>
      <sheetName val="GS 13"/>
      <sheetName val="2S1"/>
      <sheetName val="LOAD-GS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f อาคาร"/>
      <sheetName val="ใบสรุปราคา"/>
      <sheetName val="หมวดงาน"/>
      <sheetName val="บัญชีวัสดุ-ราค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DY FASHION ครั้งที่ 1"/>
      <sheetName val="ขอครุภัณฑ์"/>
      <sheetName val="การตั้งงบ-ราคากลาง"/>
      <sheetName val="ใบกำกับงาน"/>
      <sheetName val="การปัดเศษ"/>
      <sheetName val="ฟอร์ม"/>
      <sheetName val="Factor  F_6%"/>
      <sheetName val="Factor F_7%"/>
      <sheetName val="ค่าเหล็ก"/>
      <sheetName val="Factor  F_7%j;'15%"/>
      <sheetName val="Factor  F"/>
      <sheetName val="Factor F 7% - 15%"/>
      <sheetName val="Sheet2"/>
      <sheetName val="Sheet1"/>
    </sheetNames>
    <sheetDataSet>
      <sheetData sheetId="8">
        <row r="10">
          <cell r="H10">
            <v>398</v>
          </cell>
        </row>
        <row r="13">
          <cell r="H13">
            <v>485</v>
          </cell>
        </row>
        <row r="14">
          <cell r="G14">
            <v>280</v>
          </cell>
        </row>
        <row r="15">
          <cell r="G15">
            <v>260</v>
          </cell>
          <cell r="H15">
            <v>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yotathai.ne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PageLayoutView="0" workbookViewId="0" topLeftCell="B1">
      <selection activeCell="S20" sqref="S20"/>
    </sheetView>
  </sheetViews>
  <sheetFormatPr defaultColWidth="9.16015625" defaultRowHeight="17.25"/>
  <cols>
    <col min="1" max="1" width="2.5" style="206" customWidth="1"/>
    <col min="2" max="2" width="7.33203125" style="206" customWidth="1"/>
    <col min="3" max="3" width="14.16015625" style="206" customWidth="1"/>
    <col min="4" max="4" width="13.83203125" style="206" customWidth="1"/>
    <col min="5" max="5" width="12.83203125" style="206" customWidth="1"/>
    <col min="6" max="6" width="11.83203125" style="206" customWidth="1"/>
    <col min="7" max="8" width="17.33203125" style="206" customWidth="1"/>
    <col min="9" max="9" width="15.83203125" style="206" customWidth="1"/>
    <col min="10" max="10" width="13.33203125" style="206" customWidth="1"/>
    <col min="11" max="11" width="3.33203125" style="206" customWidth="1"/>
    <col min="12" max="13" width="11.16015625" style="206" customWidth="1"/>
    <col min="14" max="16384" width="9.16015625" style="206" customWidth="1"/>
  </cols>
  <sheetData>
    <row r="1" spans="2:12" ht="36" customHeight="1">
      <c r="B1" s="471" t="s">
        <v>488</v>
      </c>
      <c r="C1" s="471"/>
      <c r="D1" s="471"/>
      <c r="E1" s="471"/>
      <c r="F1" s="471"/>
      <c r="G1" s="471"/>
      <c r="H1" s="471"/>
      <c r="I1" s="471"/>
      <c r="J1" s="471"/>
      <c r="L1" s="207" t="s">
        <v>2</v>
      </c>
    </row>
    <row r="2" spans="2:10" ht="22.5" customHeight="1">
      <c r="B2" s="209" t="s">
        <v>2</v>
      </c>
      <c r="C2" s="210" t="s">
        <v>388</v>
      </c>
      <c r="D2" s="211" t="str">
        <f>'บัญชีวัสดุ-ราคา'!D2</f>
        <v> แฟลตพักแพทย์ 20 ยูนิต  (6ชั้น) </v>
      </c>
      <c r="E2" s="210"/>
      <c r="F2" s="212"/>
      <c r="G2" s="213"/>
      <c r="H2" s="213"/>
      <c r="I2" s="212"/>
      <c r="J2" s="214"/>
    </row>
    <row r="3" spans="2:12" ht="22.5" customHeight="1">
      <c r="B3" s="215" t="s">
        <v>2</v>
      </c>
      <c r="C3" s="216" t="s">
        <v>158</v>
      </c>
      <c r="D3" s="217" t="s">
        <v>449</v>
      </c>
      <c r="E3" s="218"/>
      <c r="F3" s="219"/>
      <c r="G3" s="219"/>
      <c r="H3" s="216"/>
      <c r="I3" s="216"/>
      <c r="J3" s="220"/>
      <c r="L3" s="217"/>
    </row>
    <row r="4" spans="2:10" ht="22.5" customHeight="1">
      <c r="B4" s="215"/>
      <c r="C4" s="216" t="s">
        <v>163</v>
      </c>
      <c r="D4" s="221"/>
      <c r="E4" s="221"/>
      <c r="F4" s="219" t="s">
        <v>164</v>
      </c>
      <c r="G4" s="222"/>
      <c r="H4" s="219"/>
      <c r="I4" s="223"/>
      <c r="J4" s="224"/>
    </row>
    <row r="5" spans="2:10" ht="22.5" customHeight="1">
      <c r="B5" s="215"/>
      <c r="C5" s="216" t="s">
        <v>10</v>
      </c>
      <c r="D5" s="417" t="s">
        <v>486</v>
      </c>
      <c r="E5" s="221"/>
      <c r="F5" s="226"/>
      <c r="G5" s="225" t="s">
        <v>359</v>
      </c>
      <c r="H5" s="313" t="s">
        <v>5</v>
      </c>
      <c r="I5" s="227">
        <v>2366</v>
      </c>
      <c r="J5" s="228" t="s">
        <v>6</v>
      </c>
    </row>
    <row r="6" spans="2:10" ht="22.5" customHeight="1">
      <c r="B6" s="215"/>
      <c r="C6" s="216" t="s">
        <v>165</v>
      </c>
      <c r="D6" s="221"/>
      <c r="E6" s="229" t="s">
        <v>360</v>
      </c>
      <c r="F6" s="230">
        <v>13</v>
      </c>
      <c r="G6" s="219" t="s">
        <v>361</v>
      </c>
      <c r="H6" s="313" t="s">
        <v>362</v>
      </c>
      <c r="I6" s="227">
        <v>6</v>
      </c>
      <c r="J6" s="228" t="s">
        <v>7</v>
      </c>
    </row>
    <row r="7" spans="2:10" ht="22.5" customHeight="1">
      <c r="B7" s="215"/>
      <c r="C7" s="132" t="s">
        <v>496</v>
      </c>
      <c r="D7" s="333"/>
      <c r="E7" s="334"/>
      <c r="F7" s="335"/>
      <c r="G7" s="336"/>
      <c r="H7" s="430" t="s">
        <v>494</v>
      </c>
      <c r="I7" s="225"/>
      <c r="J7" s="231"/>
    </row>
    <row r="8" spans="2:10" ht="22.5" customHeight="1">
      <c r="B8" s="215"/>
      <c r="C8" s="330" t="s">
        <v>451</v>
      </c>
      <c r="D8" s="337"/>
      <c r="E8" s="338"/>
      <c r="F8" s="339"/>
      <c r="G8" s="340"/>
      <c r="H8" s="422"/>
      <c r="I8" s="225"/>
      <c r="J8" s="231"/>
    </row>
    <row r="9" spans="2:10" ht="22.5" customHeight="1">
      <c r="B9" s="232"/>
      <c r="C9" s="341" t="s">
        <v>389</v>
      </c>
      <c r="D9" s="418"/>
      <c r="E9" s="418"/>
      <c r="F9" s="419"/>
      <c r="G9" s="419" t="s">
        <v>410</v>
      </c>
      <c r="H9" s="431" t="s">
        <v>452</v>
      </c>
      <c r="I9" s="235"/>
      <c r="J9" s="236"/>
    </row>
    <row r="10" spans="2:11" ht="21" customHeight="1">
      <c r="B10" s="328" t="s">
        <v>499</v>
      </c>
      <c r="C10" s="237"/>
      <c r="D10" s="208"/>
      <c r="E10" s="238"/>
      <c r="F10" s="239"/>
      <c r="G10" s="239"/>
      <c r="H10" s="240"/>
      <c r="I10" s="241"/>
      <c r="J10" s="242"/>
      <c r="K10" s="206" t="s">
        <v>2</v>
      </c>
    </row>
    <row r="11" spans="2:10" ht="21" customHeight="1">
      <c r="B11" s="329" t="s">
        <v>420</v>
      </c>
      <c r="C11" s="243"/>
      <c r="D11" s="244"/>
      <c r="E11" s="245"/>
      <c r="F11" s="246"/>
      <c r="G11" s="246"/>
      <c r="H11" s="246"/>
      <c r="I11" s="245"/>
      <c r="J11" s="247"/>
    </row>
    <row r="12" spans="2:10" ht="7.5" customHeight="1">
      <c r="B12" s="248"/>
      <c r="C12" s="249"/>
      <c r="D12" s="250"/>
      <c r="E12" s="250"/>
      <c r="F12" s="251"/>
      <c r="G12" s="252"/>
      <c r="H12" s="251"/>
      <c r="I12" s="253"/>
      <c r="J12" s="254"/>
    </row>
    <row r="13" spans="2:10" ht="24.75" customHeight="1">
      <c r="B13" s="255" t="s">
        <v>166</v>
      </c>
      <c r="C13" s="256" t="s">
        <v>11</v>
      </c>
      <c r="D13" s="257"/>
      <c r="E13" s="257"/>
      <c r="F13" s="257"/>
      <c r="G13" s="472" t="s">
        <v>363</v>
      </c>
      <c r="H13" s="473"/>
      <c r="I13" s="474" t="s">
        <v>9</v>
      </c>
      <c r="J13" s="475"/>
    </row>
    <row r="14" spans="2:10" ht="22.5" customHeight="1">
      <c r="B14" s="258" t="s">
        <v>2</v>
      </c>
      <c r="C14" s="259"/>
      <c r="D14" s="260"/>
      <c r="E14" s="260"/>
      <c r="F14" s="261"/>
      <c r="G14" s="262" t="s">
        <v>316</v>
      </c>
      <c r="H14" s="262" t="s">
        <v>368</v>
      </c>
      <c r="I14" s="263"/>
      <c r="J14" s="262"/>
    </row>
    <row r="15" spans="2:10" ht="24" customHeight="1">
      <c r="B15" s="264">
        <v>1</v>
      </c>
      <c r="C15" s="265" t="s">
        <v>364</v>
      </c>
      <c r="D15" s="266"/>
      <c r="E15" s="267"/>
      <c r="F15" s="267"/>
      <c r="G15" s="268">
        <v>0</v>
      </c>
      <c r="H15" s="268">
        <f>SUM(หมวดงาน!F45)</f>
        <v>20041374.350199997</v>
      </c>
      <c r="I15" s="478"/>
      <c r="J15" s="479"/>
    </row>
    <row r="16" spans="2:12" ht="24" customHeight="1">
      <c r="B16" s="269"/>
      <c r="C16" s="270" t="s">
        <v>167</v>
      </c>
      <c r="D16" s="234"/>
      <c r="E16" s="271"/>
      <c r="F16" s="272">
        <f>'12งวด'!AA14</f>
        <v>1.2515765785089201</v>
      </c>
      <c r="G16" s="273">
        <f>G15*$F$16</f>
        <v>0</v>
      </c>
      <c r="H16" s="274">
        <f>H15*$F$16</f>
        <v>25083314.737839743</v>
      </c>
      <c r="I16" s="480"/>
      <c r="J16" s="481"/>
      <c r="L16" s="312">
        <f>+'f อาคาร'!L5:M5</f>
        <v>1.2211</v>
      </c>
    </row>
    <row r="17" spans="2:10" ht="24" customHeight="1">
      <c r="B17" s="264">
        <v>2</v>
      </c>
      <c r="C17" s="265" t="s">
        <v>495</v>
      </c>
      <c r="D17" s="266"/>
      <c r="E17" s="267"/>
      <c r="F17" s="267"/>
      <c r="G17" s="277">
        <f>SUM(หมวดงาน!E52)</f>
        <v>0</v>
      </c>
      <c r="H17" s="278">
        <v>0</v>
      </c>
      <c r="I17" s="279"/>
      <c r="J17" s="280"/>
    </row>
    <row r="18" spans="2:10" ht="24" customHeight="1">
      <c r="B18" s="269"/>
      <c r="C18" s="270" t="s">
        <v>365</v>
      </c>
      <c r="D18" s="233"/>
      <c r="E18" s="281"/>
      <c r="F18" s="281" t="s">
        <v>168</v>
      </c>
      <c r="G18" s="273">
        <f>G17*$F$18+(G17)</f>
        <v>0</v>
      </c>
      <c r="H18" s="274">
        <f>H17*$F$18+(H17)</f>
        <v>0</v>
      </c>
      <c r="I18" s="275"/>
      <c r="J18" s="276"/>
    </row>
    <row r="19" spans="2:10" ht="24" customHeight="1">
      <c r="B19" s="282">
        <v>3</v>
      </c>
      <c r="C19" s="283" t="s">
        <v>366</v>
      </c>
      <c r="D19" s="233"/>
      <c r="E19" s="284"/>
      <c r="F19" s="284"/>
      <c r="G19" s="273">
        <v>0</v>
      </c>
      <c r="H19" s="274">
        <v>0</v>
      </c>
      <c r="I19" s="275"/>
      <c r="J19" s="276"/>
    </row>
    <row r="20" spans="2:10" ht="24" customHeight="1">
      <c r="B20" s="285"/>
      <c r="C20" s="219"/>
      <c r="D20" s="286"/>
      <c r="E20" s="286"/>
      <c r="F20" s="287"/>
      <c r="G20" s="277"/>
      <c r="H20" s="278"/>
      <c r="I20" s="275"/>
      <c r="J20" s="276"/>
    </row>
    <row r="21" spans="2:10" ht="24" customHeight="1" thickBot="1">
      <c r="B21" s="288" t="s">
        <v>196</v>
      </c>
      <c r="C21" s="289"/>
      <c r="D21" s="290"/>
      <c r="E21" s="290"/>
      <c r="F21" s="291"/>
      <c r="G21" s="388">
        <f>G16+G18+G19</f>
        <v>0</v>
      </c>
      <c r="H21" s="388">
        <f>H16+H18+H19</f>
        <v>25083314.737839743</v>
      </c>
      <c r="I21" s="275"/>
      <c r="J21" s="276"/>
    </row>
    <row r="22" spans="2:10" ht="25.5" customHeight="1" thickBot="1" thickTop="1">
      <c r="B22" s="292" t="s">
        <v>367</v>
      </c>
      <c r="C22" s="293"/>
      <c r="D22" s="294"/>
      <c r="E22" s="294"/>
      <c r="F22" s="295"/>
      <c r="G22" s="389">
        <f>(CEILING(INT(G21/50),2))*50</f>
        <v>0</v>
      </c>
      <c r="H22" s="296">
        <f>(CEILING(INT(H21/50),2))*50</f>
        <v>25083300</v>
      </c>
      <c r="I22" s="476"/>
      <c r="J22" s="477"/>
    </row>
    <row r="23" spans="2:12" ht="25.5" customHeight="1" thickTop="1">
      <c r="B23" s="293"/>
      <c r="C23" s="259" t="s">
        <v>5</v>
      </c>
      <c r="D23" s="297">
        <f>I5</f>
        <v>2366</v>
      </c>
      <c r="E23" s="298" t="s">
        <v>6</v>
      </c>
      <c r="F23" s="299" t="s">
        <v>169</v>
      </c>
      <c r="G23" s="300">
        <f>+G22/$D$23</f>
        <v>0</v>
      </c>
      <c r="H23" s="300">
        <f>+H22/$D$23</f>
        <v>10601.56382079459</v>
      </c>
      <c r="I23" s="301" t="s">
        <v>170</v>
      </c>
      <c r="J23" s="302"/>
      <c r="L23" s="303"/>
    </row>
    <row r="24" spans="2:13" s="390" customFormat="1" ht="25.5" customHeight="1">
      <c r="B24" s="465" t="s">
        <v>397</v>
      </c>
      <c r="C24" s="466"/>
      <c r="D24" s="466"/>
      <c r="E24" s="466"/>
      <c r="F24" s="467"/>
      <c r="G24" s="468" t="str">
        <f>_xlfn.BAHTTEXT(H22)</f>
        <v>ยี่สิบห้าล้านแปดหมื่นสามพันสามร้อยบาทถ้วน</v>
      </c>
      <c r="H24" s="469"/>
      <c r="I24" s="469"/>
      <c r="J24" s="470"/>
      <c r="L24" s="390">
        <f>G22*1.03</f>
        <v>0</v>
      </c>
      <c r="M24" s="390">
        <f>H22*1.03</f>
        <v>25835799</v>
      </c>
    </row>
    <row r="25" spans="2:10" s="390" customFormat="1" ht="25.5" customHeight="1">
      <c r="B25" s="461"/>
      <c r="C25" s="461"/>
      <c r="D25" s="461"/>
      <c r="E25" s="461"/>
      <c r="F25" s="461"/>
      <c r="G25" s="462"/>
      <c r="H25" s="462"/>
      <c r="I25" s="462"/>
      <c r="J25" s="462"/>
    </row>
    <row r="26" spans="2:10" s="309" customFormat="1" ht="22.5" customHeight="1">
      <c r="B26" s="464"/>
      <c r="C26" s="464"/>
      <c r="D26" s="464"/>
      <c r="E26" s="464"/>
      <c r="F26" s="206"/>
      <c r="G26" s="206"/>
      <c r="H26" s="206"/>
      <c r="I26" s="206"/>
      <c r="J26" s="206"/>
    </row>
    <row r="27" spans="1:10" ht="21" customHeight="1">
      <c r="A27" s="410"/>
      <c r="B27" s="410"/>
      <c r="C27" s="410"/>
      <c r="D27" s="410"/>
      <c r="E27" s="410"/>
      <c r="F27" s="410"/>
      <c r="G27" s="410"/>
      <c r="H27" s="399"/>
      <c r="I27" s="423"/>
      <c r="J27" s="410"/>
    </row>
    <row r="28" spans="2:10" ht="21" customHeight="1">
      <c r="B28" s="411" t="s">
        <v>467</v>
      </c>
      <c r="C28" s="331"/>
      <c r="D28" s="411"/>
      <c r="F28" s="411"/>
      <c r="G28" s="411" t="s">
        <v>468</v>
      </c>
      <c r="H28" s="411"/>
      <c r="I28" s="411"/>
      <c r="J28" s="410"/>
    </row>
    <row r="29" spans="2:10" ht="21" customHeight="1">
      <c r="B29" s="331" t="s">
        <v>469</v>
      </c>
      <c r="C29" s="331"/>
      <c r="D29" s="331"/>
      <c r="F29" s="331"/>
      <c r="G29" s="331" t="s">
        <v>475</v>
      </c>
      <c r="H29" s="331"/>
      <c r="I29" s="331"/>
      <c r="J29" s="410"/>
    </row>
    <row r="30" spans="2:10" ht="21" customHeight="1">
      <c r="B30" s="331" t="s">
        <v>470</v>
      </c>
      <c r="C30" s="424"/>
      <c r="D30" s="331"/>
      <c r="F30" s="331"/>
      <c r="G30" s="331" t="s">
        <v>476</v>
      </c>
      <c r="H30" s="332"/>
      <c r="I30" s="424"/>
      <c r="J30" s="410"/>
    </row>
    <row r="31" spans="2:10" ht="21" customHeight="1">
      <c r="B31" s="332"/>
      <c r="C31" s="332"/>
      <c r="D31" s="331"/>
      <c r="F31" s="331"/>
      <c r="G31" s="332"/>
      <c r="H31" s="332"/>
      <c r="I31" s="424"/>
      <c r="J31" s="410"/>
    </row>
    <row r="32" spans="2:10" ht="21" customHeight="1">
      <c r="B32" s="411" t="s">
        <v>468</v>
      </c>
      <c r="C32" s="331"/>
      <c r="D32" s="411"/>
      <c r="F32" s="411"/>
      <c r="G32" s="411" t="s">
        <v>472</v>
      </c>
      <c r="H32" s="332"/>
      <c r="I32" s="424"/>
      <c r="J32" s="410"/>
    </row>
    <row r="33" spans="2:10" ht="21" customHeight="1">
      <c r="B33" s="331" t="s">
        <v>471</v>
      </c>
      <c r="C33" s="332"/>
      <c r="D33" s="331"/>
      <c r="F33" s="331"/>
      <c r="G33" s="331" t="s">
        <v>473</v>
      </c>
      <c r="H33" s="332"/>
      <c r="I33" s="424"/>
      <c r="J33" s="410"/>
    </row>
    <row r="34" spans="2:10" ht="21" customHeight="1">
      <c r="B34" s="331" t="s">
        <v>479</v>
      </c>
      <c r="C34" s="332"/>
      <c r="D34" s="331"/>
      <c r="F34" s="331"/>
      <c r="G34" s="331" t="s">
        <v>474</v>
      </c>
      <c r="H34" s="331"/>
      <c r="I34" s="310"/>
      <c r="J34" s="410"/>
    </row>
    <row r="35" spans="2:10" ht="21" customHeight="1">
      <c r="B35" s="332"/>
      <c r="C35" s="332"/>
      <c r="D35" s="331"/>
      <c r="E35" s="332"/>
      <c r="F35" s="331"/>
      <c r="G35" s="437"/>
      <c r="H35" s="411"/>
      <c r="I35" s="412"/>
      <c r="J35" s="410"/>
    </row>
    <row r="36" spans="2:10" ht="21" customHeight="1">
      <c r="B36" s="411" t="s">
        <v>472</v>
      </c>
      <c r="C36" s="331"/>
      <c r="D36" s="411"/>
      <c r="E36" s="411"/>
      <c r="F36" s="411"/>
      <c r="G36" s="437"/>
      <c r="H36" s="411"/>
      <c r="I36" s="412"/>
      <c r="J36" s="410"/>
    </row>
    <row r="37" spans="2:10" ht="21" customHeight="1">
      <c r="B37" s="331" t="s">
        <v>477</v>
      </c>
      <c r="C37" s="332"/>
      <c r="D37" s="331"/>
      <c r="E37" s="331"/>
      <c r="F37" s="331"/>
      <c r="G37" s="437"/>
      <c r="H37" s="331"/>
      <c r="I37" s="412"/>
      <c r="J37" s="410"/>
    </row>
    <row r="38" spans="2:10" ht="21" customHeight="1">
      <c r="B38" s="331" t="s">
        <v>478</v>
      </c>
      <c r="C38" s="332"/>
      <c r="D38" s="331"/>
      <c r="E38" s="331"/>
      <c r="F38" s="331"/>
      <c r="G38" s="437"/>
      <c r="H38" s="331"/>
      <c r="I38" s="412"/>
      <c r="J38" s="410"/>
    </row>
    <row r="39" spans="2:10" ht="21" customHeight="1">
      <c r="B39" s="332"/>
      <c r="C39" s="332"/>
      <c r="D39" s="332"/>
      <c r="E39" s="413"/>
      <c r="F39" s="400"/>
      <c r="G39" s="331"/>
      <c r="H39" s="331"/>
      <c r="I39" s="412"/>
      <c r="J39" s="410"/>
    </row>
    <row r="40" spans="2:10" ht="21" customHeight="1">
      <c r="B40" s="332"/>
      <c r="C40" s="332"/>
      <c r="D40" s="332"/>
      <c r="E40" s="413"/>
      <c r="F40" s="400"/>
      <c r="G40" s="331"/>
      <c r="H40" s="331"/>
      <c r="I40" s="412"/>
      <c r="J40" s="410"/>
    </row>
    <row r="41" spans="2:10" ht="21" customHeight="1">
      <c r="B41" s="332"/>
      <c r="C41" s="332"/>
      <c r="D41" s="400"/>
      <c r="E41" s="413"/>
      <c r="F41" s="400"/>
      <c r="G41" s="331"/>
      <c r="H41" s="331"/>
      <c r="I41" s="412"/>
      <c r="J41" s="410"/>
    </row>
    <row r="42" ht="21" customHeight="1"/>
    <row r="43" ht="21" customHeight="1"/>
    <row r="44" ht="21" customHeight="1"/>
    <row r="45" ht="21" customHeight="1"/>
    <row r="46" ht="21" customHeight="1"/>
  </sheetData>
  <sheetProtection/>
  <mergeCells count="9">
    <mergeCell ref="B26:E26"/>
    <mergeCell ref="B24:F24"/>
    <mergeCell ref="G24:J24"/>
    <mergeCell ref="B1:J1"/>
    <mergeCell ref="G13:H13"/>
    <mergeCell ref="I13:J13"/>
    <mergeCell ref="I22:J22"/>
    <mergeCell ref="I15:J15"/>
    <mergeCell ref="I16:J16"/>
  </mergeCells>
  <printOptions/>
  <pageMargins left="0.4330708661417323" right="0.15748031496062992" top="0.6299212598425197" bottom="0.1968503937007874" header="0.4724409448818898" footer="0.11811023622047245"/>
  <pageSetup horizontalDpi="300" verticalDpi="300" orientation="portrait" paperSize="9" scale="88" r:id="rId2"/>
  <headerFooter alignWithMargins="0">
    <oddHeader>&amp;R&amp;"TH SarabunPSK,ธรรมดา"แบบ ปร.6 (ปร.5ก + 5ข)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showGridLines="0" zoomScalePageLayoutView="0" workbookViewId="0" topLeftCell="A1">
      <selection activeCell="O60" sqref="O60"/>
    </sheetView>
  </sheetViews>
  <sheetFormatPr defaultColWidth="9.16015625" defaultRowHeight="17.25"/>
  <cols>
    <col min="1" max="1" width="2.5" style="57" customWidth="1"/>
    <col min="2" max="2" width="6.16015625" style="57" customWidth="1"/>
    <col min="3" max="3" width="8.16015625" style="57" customWidth="1"/>
    <col min="4" max="4" width="58.66015625" style="57" customWidth="1"/>
    <col min="5" max="6" width="14.66015625" style="57" customWidth="1"/>
    <col min="7" max="7" width="13.66015625" style="57" customWidth="1"/>
    <col min="8" max="12" width="9.16015625" style="57" customWidth="1"/>
    <col min="13" max="13" width="10.5" style="57" bestFit="1" customWidth="1"/>
    <col min="14" max="16384" width="9.16015625" style="57" customWidth="1"/>
  </cols>
  <sheetData>
    <row r="1" spans="2:7" ht="32.25" customHeight="1">
      <c r="B1" s="482" t="s">
        <v>488</v>
      </c>
      <c r="C1" s="482"/>
      <c r="D1" s="482"/>
      <c r="E1" s="482"/>
      <c r="F1" s="482"/>
      <c r="G1" s="482"/>
    </row>
    <row r="2" spans="2:7" ht="24.75" customHeight="1">
      <c r="B2" s="342" t="s">
        <v>0</v>
      </c>
      <c r="C2" s="133"/>
      <c r="D2" s="343" t="str">
        <f>'บัญชีวัสดุ-ราคา'!D2</f>
        <v> แฟลตพักแพทย์ 20 ยูนิต  (6ชั้น) </v>
      </c>
      <c r="E2" s="344" t="s">
        <v>1</v>
      </c>
      <c r="F2" s="345" t="s">
        <v>424</v>
      </c>
      <c r="G2" s="134"/>
    </row>
    <row r="3" spans="2:7" ht="24.75" customHeight="1">
      <c r="B3" s="342" t="s">
        <v>3</v>
      </c>
      <c r="C3" s="346"/>
      <c r="D3" s="421" t="str">
        <f>'บัญชีวัสดุ-ราคา'!D3</f>
        <v>โรงพยาบาลอรัญประเทศ    จังหวัดสระแก้ว </v>
      </c>
      <c r="E3" s="347" t="s">
        <v>4</v>
      </c>
      <c r="F3" s="426" t="s">
        <v>450</v>
      </c>
      <c r="G3" s="348"/>
    </row>
    <row r="4" spans="2:7" ht="23.25" customHeight="1">
      <c r="B4" s="487" t="s">
        <v>8</v>
      </c>
      <c r="C4" s="489" t="s">
        <v>11</v>
      </c>
      <c r="D4" s="490"/>
      <c r="E4" s="483" t="s">
        <v>190</v>
      </c>
      <c r="F4" s="484"/>
      <c r="G4" s="487" t="s">
        <v>9</v>
      </c>
    </row>
    <row r="5" spans="2:7" ht="23.25" customHeight="1">
      <c r="B5" s="488"/>
      <c r="C5" s="491"/>
      <c r="D5" s="492"/>
      <c r="E5" s="349" t="s">
        <v>316</v>
      </c>
      <c r="F5" s="349" t="s">
        <v>191</v>
      </c>
      <c r="G5" s="488"/>
    </row>
    <row r="6" spans="2:7" ht="22.5" customHeight="1">
      <c r="B6" s="350"/>
      <c r="C6" s="485" t="s">
        <v>318</v>
      </c>
      <c r="D6" s="486"/>
      <c r="E6" s="351"/>
      <c r="F6" s="352"/>
      <c r="G6" s="353" t="s">
        <v>2</v>
      </c>
    </row>
    <row r="7" spans="2:7" ht="22.5" customHeight="1">
      <c r="B7" s="354">
        <v>1</v>
      </c>
      <c r="C7" s="355" t="s">
        <v>312</v>
      </c>
      <c r="D7" s="356"/>
      <c r="E7" s="402"/>
      <c r="F7" s="352"/>
      <c r="G7" s="357" t="s">
        <v>2</v>
      </c>
    </row>
    <row r="8" spans="2:7" ht="22.5" customHeight="1">
      <c r="B8" s="350"/>
      <c r="C8" s="356" t="s">
        <v>171</v>
      </c>
      <c r="D8" s="356"/>
      <c r="E8" s="402"/>
      <c r="F8" s="352"/>
      <c r="G8" s="357"/>
    </row>
    <row r="9" spans="2:7" ht="22.5" customHeight="1">
      <c r="B9" s="350" t="s">
        <v>2</v>
      </c>
      <c r="C9" s="358">
        <v>1.1</v>
      </c>
      <c r="D9" s="356" t="s">
        <v>317</v>
      </c>
      <c r="E9" s="402"/>
      <c r="F9" s="351"/>
      <c r="G9" s="357"/>
    </row>
    <row r="10" spans="2:7" ht="22.5" customHeight="1">
      <c r="B10" s="350"/>
      <c r="C10" s="358"/>
      <c r="D10" s="356" t="s">
        <v>192</v>
      </c>
      <c r="E10" s="402" t="e">
        <f>'บัญชีวัสดุ-ราคา'!#REF!</f>
        <v>#REF!</v>
      </c>
      <c r="F10" s="351">
        <f>'บัญชีวัสดุ-ราคา'!K42</f>
        <v>2070133.519</v>
      </c>
      <c r="G10" s="357"/>
    </row>
    <row r="11" spans="2:7" ht="22.5" customHeight="1">
      <c r="B11" s="350"/>
      <c r="C11" s="358"/>
      <c r="D11" s="356" t="s">
        <v>193</v>
      </c>
      <c r="E11" s="402">
        <f>'บัญชีวัสดุ-ราคา'!K66</f>
        <v>6213778.1912</v>
      </c>
      <c r="F11" s="351">
        <f>E11</f>
        <v>6213778.1912</v>
      </c>
      <c r="G11" s="357"/>
    </row>
    <row r="12" spans="2:7" ht="22.5" customHeight="1">
      <c r="B12" s="350" t="s">
        <v>2</v>
      </c>
      <c r="C12" s="356">
        <v>1.2</v>
      </c>
      <c r="D12" s="356" t="s">
        <v>172</v>
      </c>
      <c r="E12" s="402"/>
      <c r="F12" s="351"/>
      <c r="G12" s="357"/>
    </row>
    <row r="13" spans="2:7" ht="22.5" customHeight="1">
      <c r="B13" s="350"/>
      <c r="C13" s="356"/>
      <c r="D13" s="359" t="str">
        <f>'บัญชีวัสดุ-ราคา'!C68</f>
        <v> 1.2.1 งานฝ้าเพดาน</v>
      </c>
      <c r="E13" s="402">
        <f>'บัญชีวัสดุ-ราคา'!K81</f>
        <v>409531</v>
      </c>
      <c r="F13" s="351">
        <f aca="true" t="shared" si="0" ref="F13:F23">E13</f>
        <v>409531</v>
      </c>
      <c r="G13" s="357"/>
    </row>
    <row r="14" spans="2:7" ht="22.5" customHeight="1">
      <c r="B14" s="350"/>
      <c r="C14" s="356"/>
      <c r="D14" s="359" t="str">
        <f>'บัญชีวัสดุ-ราคา'!C82</f>
        <v> 1.2.2 งานพื้น</v>
      </c>
      <c r="E14" s="402">
        <f>'บัญชีวัสดุ-ราคา'!K96</f>
        <v>1503756</v>
      </c>
      <c r="F14" s="351">
        <f t="shared" si="0"/>
        <v>1503756</v>
      </c>
      <c r="G14" s="357"/>
    </row>
    <row r="15" spans="2:7" ht="22.5" customHeight="1">
      <c r="B15" s="350"/>
      <c r="C15" s="356"/>
      <c r="D15" s="360" t="str">
        <f>'บัญชีวัสดุ-ราคา'!C98</f>
        <v> 1.2.3 งานผนัง</v>
      </c>
      <c r="E15" s="402">
        <f>'บัญชีวัสดุ-ราคา'!K115</f>
        <v>2007330.2</v>
      </c>
      <c r="F15" s="351">
        <f t="shared" si="0"/>
        <v>2007330.2</v>
      </c>
      <c r="G15" s="357"/>
    </row>
    <row r="16" spans="2:7" ht="22.5" customHeight="1">
      <c r="B16" s="350"/>
      <c r="C16" s="356"/>
      <c r="D16" s="360" t="str">
        <f>'บัญชีวัสดุ-ราคา'!C116</f>
        <v> 1.2.4 งานวงกบ-กระจก-มุ้งลวด</v>
      </c>
      <c r="E16" s="402">
        <f>'บัญชีวัสดุ-ราคา'!K121</f>
        <v>753771</v>
      </c>
      <c r="F16" s="351">
        <f t="shared" si="0"/>
        <v>753771</v>
      </c>
      <c r="G16" s="357"/>
    </row>
    <row r="17" spans="2:7" ht="22.5" customHeight="1">
      <c r="B17" s="350"/>
      <c r="C17" s="356"/>
      <c r="D17" s="360" t="str">
        <f>'บัญชีวัสดุ-ราคา'!C122</f>
        <v> 1.2.5 งานประตู-หน้าต่าง</v>
      </c>
      <c r="E17" s="402">
        <f>'บัญชีวัสดุ-ราคา'!K147</f>
        <v>1063791</v>
      </c>
      <c r="F17" s="351">
        <f t="shared" si="0"/>
        <v>1063791</v>
      </c>
      <c r="G17" s="357"/>
    </row>
    <row r="18" spans="2:7" ht="22.5" customHeight="1">
      <c r="B18" s="350"/>
      <c r="C18" s="356"/>
      <c r="D18" s="359" t="str">
        <f>'บัญชีวัสดุ-ราคา'!C148</f>
        <v> 1.2.6 งานสุขภัณฑ์</v>
      </c>
      <c r="E18" s="402">
        <f>'บัญชีวัสดุ-ราคา'!K161</f>
        <v>355000</v>
      </c>
      <c r="F18" s="351">
        <f t="shared" si="0"/>
        <v>355000</v>
      </c>
      <c r="G18" s="357"/>
    </row>
    <row r="19" spans="2:7" ht="22.5" customHeight="1">
      <c r="B19" s="350"/>
      <c r="C19" s="356"/>
      <c r="D19" s="360" t="str">
        <f>'บัญชีวัสดุ-ราคา'!C162</f>
        <v> 1.2.7 งานทาสี</v>
      </c>
      <c r="E19" s="402">
        <f>'บัญชีวัสดุ-ราคา'!K166</f>
        <v>651240</v>
      </c>
      <c r="F19" s="351">
        <f t="shared" si="0"/>
        <v>651240</v>
      </c>
      <c r="G19" s="357"/>
    </row>
    <row r="20" spans="2:7" ht="22.5" customHeight="1">
      <c r="B20" s="350"/>
      <c r="C20" s="356"/>
      <c r="D20" s="360" t="str">
        <f>'บัญชีวัสดุ-ราคา'!C167</f>
        <v> 1.2.8 งานเบ็ดเตล็ด</v>
      </c>
      <c r="E20" s="402">
        <f>'บัญชีวัสดุ-ราคา'!K178</f>
        <v>236470</v>
      </c>
      <c r="F20" s="351">
        <f t="shared" si="0"/>
        <v>236470</v>
      </c>
      <c r="G20" s="357"/>
    </row>
    <row r="21" spans="2:7" ht="22.5" customHeight="1">
      <c r="B21" s="350" t="s">
        <v>2</v>
      </c>
      <c r="C21" s="358">
        <v>1.3</v>
      </c>
      <c r="D21" s="356" t="s">
        <v>319</v>
      </c>
      <c r="E21" s="402">
        <f>'บัญชีวัสดุ-ราคา'!K241</f>
        <v>1052771.44</v>
      </c>
      <c r="F21" s="351">
        <f t="shared" si="0"/>
        <v>1052771.44</v>
      </c>
      <c r="G21" s="357" t="s">
        <v>2</v>
      </c>
    </row>
    <row r="22" spans="2:7" ht="22.5" customHeight="1">
      <c r="B22" s="350"/>
      <c r="C22" s="356">
        <v>1.4</v>
      </c>
      <c r="D22" s="356" t="s">
        <v>173</v>
      </c>
      <c r="E22" s="402"/>
      <c r="F22" s="351"/>
      <c r="G22" s="357"/>
    </row>
    <row r="23" spans="2:7" ht="22.5" customHeight="1">
      <c r="B23" s="350" t="s">
        <v>2</v>
      </c>
      <c r="C23" s="356"/>
      <c r="D23" s="356" t="str">
        <f>'บัญชีวัสดุ-ราคา'!C245</f>
        <v> 1.4.1 งานระบบไฟฟ้า </v>
      </c>
      <c r="E23" s="402">
        <f>'บัญชีวัสดุ-ราคา'!K291</f>
        <v>1163842</v>
      </c>
      <c r="F23" s="351">
        <f t="shared" si="0"/>
        <v>1163842</v>
      </c>
      <c r="G23" s="357" t="s">
        <v>156</v>
      </c>
    </row>
    <row r="24" spans="2:7" ht="22.5" customHeight="1">
      <c r="B24" s="361"/>
      <c r="C24" s="362"/>
      <c r="D24" s="363" t="str">
        <f>'บัญชีวัสดุ-ราคา'!C294</f>
        <v> 1.4.2 งานระบบป้องกันอันตรายจากฟ้าผ่า </v>
      </c>
      <c r="E24" s="403">
        <f>SUM('บัญชีวัสดุ-ราคา'!K303)</f>
        <v>195000</v>
      </c>
      <c r="F24" s="352">
        <f>E24</f>
        <v>195000</v>
      </c>
      <c r="G24" s="364"/>
    </row>
    <row r="25" spans="2:7" ht="22.5" customHeight="1">
      <c r="B25" s="361"/>
      <c r="C25" s="362"/>
      <c r="D25" s="363" t="str">
        <f>'บัญชีวัสดุ-ราคา'!C306</f>
        <v> 1.4.3 งานระบบโทรศัพท์</v>
      </c>
      <c r="E25" s="403">
        <f>SUM('บัญชีวัสดุ-ราคา'!K311)</f>
        <v>36600</v>
      </c>
      <c r="F25" s="352">
        <f>E25</f>
        <v>36600</v>
      </c>
      <c r="G25" s="364"/>
    </row>
    <row r="26" spans="2:7" ht="22.5" customHeight="1">
      <c r="B26" s="361"/>
      <c r="C26" s="362"/>
      <c r="D26" s="363" t="str">
        <f>'บัญชีวัสดุ-ราคา'!C313</f>
        <v> 1.4.4 งานระบบการกระจายสัญญาณโทรทัศน์</v>
      </c>
      <c r="E26" s="403">
        <f>SUM('บัญชีวัสดุ-ราคา'!K322)</f>
        <v>63900</v>
      </c>
      <c r="F26" s="352">
        <f>E26</f>
        <v>63900</v>
      </c>
      <c r="G26" s="364"/>
    </row>
    <row r="27" spans="2:7" ht="22.5" customHeight="1">
      <c r="B27" s="361"/>
      <c r="C27" s="362"/>
      <c r="D27" s="363" t="str">
        <f>'บัญชีวัสดุ-ราคา'!C323</f>
        <v> 1.4.5 งานระบบสัญญาณแจ้งเหตูเพลิงไหม้</v>
      </c>
      <c r="E27" s="403">
        <f>SUM('บัญชีวัสดุ-ราคา'!K332)</f>
        <v>214460</v>
      </c>
      <c r="F27" s="352">
        <f>E27</f>
        <v>214460</v>
      </c>
      <c r="G27" s="364"/>
    </row>
    <row r="28" spans="2:7" ht="22.5" customHeight="1">
      <c r="B28" s="350" t="s">
        <v>156</v>
      </c>
      <c r="C28" s="356">
        <v>1.5</v>
      </c>
      <c r="D28" s="356" t="s">
        <v>320</v>
      </c>
      <c r="E28" s="402">
        <f>'บัญชีวัสดุ-ราคา'!K337</f>
        <v>1350000</v>
      </c>
      <c r="F28" s="352">
        <f>E28</f>
        <v>1350000</v>
      </c>
      <c r="G28" s="357" t="s">
        <v>2</v>
      </c>
    </row>
    <row r="29" spans="2:7" ht="22.5" customHeight="1">
      <c r="B29" s="350" t="s">
        <v>2</v>
      </c>
      <c r="C29" s="358">
        <v>1.6</v>
      </c>
      <c r="D29" s="356" t="s">
        <v>321</v>
      </c>
      <c r="E29" s="402">
        <v>0</v>
      </c>
      <c r="F29" s="352">
        <v>0</v>
      </c>
      <c r="G29" s="357" t="s">
        <v>156</v>
      </c>
    </row>
    <row r="30" spans="2:7" ht="22.5" customHeight="1">
      <c r="B30" s="361"/>
      <c r="C30" s="362"/>
      <c r="D30" s="385"/>
      <c r="E30" s="403"/>
      <c r="F30" s="375"/>
      <c r="G30" s="364"/>
    </row>
    <row r="31" spans="2:7" ht="22.5" customHeight="1">
      <c r="B31" s="365"/>
      <c r="C31" s="366"/>
      <c r="D31" s="366"/>
      <c r="E31" s="404"/>
      <c r="F31" s="367"/>
      <c r="G31" s="368"/>
    </row>
    <row r="32" spans="2:7" ht="22.5" customHeight="1">
      <c r="B32" s="369" t="s">
        <v>2</v>
      </c>
      <c r="C32" s="370" t="s">
        <v>2</v>
      </c>
      <c r="D32" s="371" t="s">
        <v>174</v>
      </c>
      <c r="E32" s="405" t="e">
        <f>SUM(E6:E31)</f>
        <v>#REF!</v>
      </c>
      <c r="F32" s="372">
        <f>SUM(F6:F31)</f>
        <v>19341374.350199997</v>
      </c>
      <c r="G32" s="373" t="s">
        <v>2</v>
      </c>
    </row>
    <row r="33" spans="2:7" ht="22.5" customHeight="1">
      <c r="B33" s="354">
        <v>2</v>
      </c>
      <c r="C33" s="355" t="s">
        <v>313</v>
      </c>
      <c r="D33" s="356"/>
      <c r="E33" s="402"/>
      <c r="F33" s="352"/>
      <c r="G33" s="357" t="s">
        <v>156</v>
      </c>
    </row>
    <row r="34" spans="2:7" ht="22.5" customHeight="1">
      <c r="B34" s="350"/>
      <c r="C34" s="356" t="s">
        <v>171</v>
      </c>
      <c r="D34" s="356"/>
      <c r="E34" s="402"/>
      <c r="F34" s="352"/>
      <c r="G34" s="357"/>
    </row>
    <row r="35" spans="2:7" ht="22.5" customHeight="1">
      <c r="B35" s="374"/>
      <c r="C35" s="358">
        <v>2.1</v>
      </c>
      <c r="D35" s="356" t="s">
        <v>323</v>
      </c>
      <c r="E35" s="402">
        <f>'บัญชีวัสดุ-ราคา'!K340</f>
        <v>700000</v>
      </c>
      <c r="F35" s="351">
        <f>E35</f>
        <v>700000</v>
      </c>
      <c r="G35" s="357" t="s">
        <v>2</v>
      </c>
    </row>
    <row r="36" spans="2:7" ht="22.5" customHeight="1">
      <c r="B36" s="361"/>
      <c r="C36" s="362">
        <v>2.2</v>
      </c>
      <c r="D36" s="356" t="s">
        <v>322</v>
      </c>
      <c r="E36" s="403">
        <v>0</v>
      </c>
      <c r="F36" s="375">
        <v>0</v>
      </c>
      <c r="G36" s="364"/>
    </row>
    <row r="37" spans="2:7" ht="22.5" customHeight="1">
      <c r="B37" s="365"/>
      <c r="C37" s="376"/>
      <c r="D37" s="366"/>
      <c r="E37" s="404"/>
      <c r="F37" s="367"/>
      <c r="G37" s="368"/>
    </row>
    <row r="38" spans="2:7" ht="22.5" customHeight="1">
      <c r="B38" s="369" t="s">
        <v>2</v>
      </c>
      <c r="C38" s="377" t="s">
        <v>2</v>
      </c>
      <c r="D38" s="371" t="s">
        <v>175</v>
      </c>
      <c r="E38" s="405">
        <f>SUM(E33:E37)</f>
        <v>700000</v>
      </c>
      <c r="F38" s="372">
        <f>SUM(F33:F37)</f>
        <v>700000</v>
      </c>
      <c r="G38" s="373" t="s">
        <v>2</v>
      </c>
    </row>
    <row r="39" spans="2:7" ht="22.5" customHeight="1">
      <c r="B39" s="354">
        <v>3</v>
      </c>
      <c r="C39" s="355" t="s">
        <v>314</v>
      </c>
      <c r="D39" s="356"/>
      <c r="E39" s="402"/>
      <c r="F39" s="352"/>
      <c r="G39" s="357" t="s">
        <v>2</v>
      </c>
    </row>
    <row r="40" spans="2:7" ht="22.5" customHeight="1">
      <c r="B40" s="350"/>
      <c r="C40" s="356" t="s">
        <v>171</v>
      </c>
      <c r="D40" s="356"/>
      <c r="E40" s="402"/>
      <c r="F40" s="352"/>
      <c r="G40" s="357"/>
    </row>
    <row r="41" spans="2:7" ht="22.5" customHeight="1">
      <c r="B41" s="354"/>
      <c r="C41" s="358">
        <v>3.1</v>
      </c>
      <c r="D41" s="356" t="s">
        <v>177</v>
      </c>
      <c r="E41" s="402">
        <v>0</v>
      </c>
      <c r="F41" s="352">
        <v>0</v>
      </c>
      <c r="G41" s="357"/>
    </row>
    <row r="42" spans="2:7" ht="22.5" customHeight="1">
      <c r="B42" s="354"/>
      <c r="C42" s="358">
        <v>3.2</v>
      </c>
      <c r="D42" s="356" t="s">
        <v>324</v>
      </c>
      <c r="E42" s="402">
        <v>0</v>
      </c>
      <c r="F42" s="352">
        <v>0</v>
      </c>
      <c r="G42" s="357"/>
    </row>
    <row r="43" spans="2:7" ht="22.5" customHeight="1">
      <c r="B43" s="378"/>
      <c r="C43" s="376"/>
      <c r="D43" s="366"/>
      <c r="E43" s="404"/>
      <c r="F43" s="367"/>
      <c r="G43" s="368"/>
    </row>
    <row r="44" spans="2:7" ht="22.5" customHeight="1">
      <c r="B44" s="369" t="s">
        <v>2</v>
      </c>
      <c r="C44" s="370" t="s">
        <v>2</v>
      </c>
      <c r="D44" s="371" t="s">
        <v>176</v>
      </c>
      <c r="E44" s="405">
        <f>SUM(E39:E43)</f>
        <v>0</v>
      </c>
      <c r="F44" s="372">
        <f>SUM(F39:F43)</f>
        <v>0</v>
      </c>
      <c r="G44" s="373" t="s">
        <v>2</v>
      </c>
    </row>
    <row r="45" spans="2:7" s="135" customFormat="1" ht="22.5" customHeight="1">
      <c r="B45" s="369"/>
      <c r="C45" s="497" t="s">
        <v>178</v>
      </c>
      <c r="D45" s="498"/>
      <c r="E45" s="406" t="e">
        <f>SUM(E44,E38,E32)</f>
        <v>#REF!</v>
      </c>
      <c r="F45" s="379">
        <f>SUM(F44,F38,F32)</f>
        <v>20041374.350199997</v>
      </c>
      <c r="G45" s="380" t="s">
        <v>2</v>
      </c>
    </row>
    <row r="46" spans="2:7" ht="22.5" customHeight="1">
      <c r="B46" s="381"/>
      <c r="C46" s="493" t="s">
        <v>325</v>
      </c>
      <c r="D46" s="494"/>
      <c r="E46" s="407"/>
      <c r="F46" s="382"/>
      <c r="G46" s="383"/>
    </row>
    <row r="47" spans="2:7" ht="22.5" customHeight="1">
      <c r="B47" s="350"/>
      <c r="C47" s="499" t="s">
        <v>179</v>
      </c>
      <c r="D47" s="496"/>
      <c r="E47" s="402"/>
      <c r="F47" s="352"/>
      <c r="G47" s="384"/>
    </row>
    <row r="48" spans="2:7" ht="22.5" customHeight="1">
      <c r="B48" s="350" t="s">
        <v>2</v>
      </c>
      <c r="C48" s="356">
        <v>2.1</v>
      </c>
      <c r="D48" s="356" t="s">
        <v>326</v>
      </c>
      <c r="E48" s="402">
        <v>0</v>
      </c>
      <c r="F48" s="351">
        <v>0</v>
      </c>
      <c r="G48" s="357" t="s">
        <v>2</v>
      </c>
    </row>
    <row r="49" spans="2:7" ht="22.5" customHeight="1">
      <c r="B49" s="350" t="s">
        <v>2</v>
      </c>
      <c r="C49" s="358">
        <v>2.2</v>
      </c>
      <c r="D49" s="356" t="s">
        <v>180</v>
      </c>
      <c r="E49" s="402">
        <v>0</v>
      </c>
      <c r="F49" s="352">
        <v>0</v>
      </c>
      <c r="G49" s="357" t="s">
        <v>2</v>
      </c>
    </row>
    <row r="50" spans="2:13" ht="22.5" customHeight="1">
      <c r="B50" s="361"/>
      <c r="C50" s="362"/>
      <c r="D50" s="385"/>
      <c r="E50" s="403"/>
      <c r="F50" s="375"/>
      <c r="G50" s="364"/>
      <c r="M50" s="57">
        <v>21900177</v>
      </c>
    </row>
    <row r="51" spans="2:7" ht="22.5" customHeight="1">
      <c r="B51" s="365"/>
      <c r="C51" s="376"/>
      <c r="D51" s="366"/>
      <c r="E51" s="404"/>
      <c r="F51" s="367"/>
      <c r="G51" s="368"/>
    </row>
    <row r="52" spans="2:7" s="135" customFormat="1" ht="22.5" customHeight="1">
      <c r="B52" s="369"/>
      <c r="C52" s="497" t="s">
        <v>181</v>
      </c>
      <c r="D52" s="498"/>
      <c r="E52" s="406">
        <f>SUM(E46:E51)</f>
        <v>0</v>
      </c>
      <c r="F52" s="379">
        <f>SUM(F46:F51)</f>
        <v>0</v>
      </c>
      <c r="G52" s="380" t="s">
        <v>2</v>
      </c>
    </row>
    <row r="53" spans="2:7" ht="22.5" customHeight="1">
      <c r="B53" s="381"/>
      <c r="C53" s="493" t="s">
        <v>327</v>
      </c>
      <c r="D53" s="494"/>
      <c r="E53" s="407"/>
      <c r="F53" s="382"/>
      <c r="G53" s="383"/>
    </row>
    <row r="54" spans="2:7" ht="22.5" customHeight="1">
      <c r="B54" s="350"/>
      <c r="C54" s="495" t="s">
        <v>315</v>
      </c>
      <c r="D54" s="496"/>
      <c r="E54" s="402"/>
      <c r="F54" s="352"/>
      <c r="G54" s="384"/>
    </row>
    <row r="55" spans="2:7" ht="22.5" customHeight="1">
      <c r="B55" s="350" t="s">
        <v>2</v>
      </c>
      <c r="C55" s="356">
        <v>3.1</v>
      </c>
      <c r="D55" s="356" t="s">
        <v>182</v>
      </c>
      <c r="E55" s="402">
        <v>0</v>
      </c>
      <c r="F55" s="352">
        <v>0</v>
      </c>
      <c r="G55" s="357" t="s">
        <v>2</v>
      </c>
    </row>
    <row r="56" spans="2:7" ht="22.5" customHeight="1">
      <c r="B56" s="361"/>
      <c r="C56" s="385"/>
      <c r="D56" s="385"/>
      <c r="E56" s="403"/>
      <c r="F56" s="375"/>
      <c r="G56" s="364"/>
    </row>
    <row r="57" spans="2:7" ht="22.5" customHeight="1">
      <c r="B57" s="361"/>
      <c r="C57" s="385"/>
      <c r="D57" s="385"/>
      <c r="E57" s="403"/>
      <c r="F57" s="375"/>
      <c r="G57" s="364"/>
    </row>
    <row r="58" spans="2:7" ht="22.5" customHeight="1">
      <c r="B58" s="365"/>
      <c r="C58" s="366"/>
      <c r="D58" s="366"/>
      <c r="E58" s="404"/>
      <c r="F58" s="367"/>
      <c r="G58" s="368"/>
    </row>
    <row r="59" spans="2:7" s="135" customFormat="1" ht="22.5" customHeight="1">
      <c r="B59" s="369"/>
      <c r="C59" s="497" t="s">
        <v>183</v>
      </c>
      <c r="D59" s="498"/>
      <c r="E59" s="406">
        <f>SUM(E53:E58)</f>
        <v>0</v>
      </c>
      <c r="F59" s="379">
        <f>SUM(F53:F58)</f>
        <v>0</v>
      </c>
      <c r="G59" s="379"/>
    </row>
    <row r="60" spans="1:7" ht="22.5" customHeight="1">
      <c r="A60" s="106"/>
      <c r="B60" s="439"/>
      <c r="C60" s="366"/>
      <c r="D60" s="366"/>
      <c r="E60" s="440"/>
      <c r="F60" s="367"/>
      <c r="G60" s="441"/>
    </row>
    <row r="61" spans="1:10" ht="22.5" customHeight="1">
      <c r="A61" s="106"/>
      <c r="B61" s="411" t="s">
        <v>497</v>
      </c>
      <c r="C61" s="331"/>
      <c r="D61" s="331"/>
      <c r="F61" s="443"/>
      <c r="H61" s="411"/>
      <c r="I61" s="411"/>
      <c r="J61" s="411"/>
    </row>
    <row r="62" spans="1:10" ht="22.5" customHeight="1">
      <c r="A62" s="106"/>
      <c r="B62" s="331" t="s">
        <v>482</v>
      </c>
      <c r="C62" s="331"/>
      <c r="D62" s="331"/>
      <c r="F62" s="442"/>
      <c r="H62" s="331"/>
      <c r="I62" s="331"/>
      <c r="J62" s="331"/>
    </row>
    <row r="63" spans="1:10" ht="22.5" customHeight="1">
      <c r="A63" s="106"/>
      <c r="B63" s="331" t="s">
        <v>483</v>
      </c>
      <c r="C63" s="332"/>
      <c r="D63" s="331"/>
      <c r="F63" s="442"/>
      <c r="H63" s="331"/>
      <c r="I63" s="332"/>
      <c r="J63" s="424"/>
    </row>
    <row r="64" spans="1:10" ht="22.5" customHeight="1">
      <c r="A64" s="106"/>
      <c r="B64" s="332"/>
      <c r="C64" s="332"/>
      <c r="D64" s="331"/>
      <c r="F64" s="443"/>
      <c r="H64" s="332"/>
      <c r="I64" s="332"/>
      <c r="J64" s="424"/>
    </row>
    <row r="65" spans="1:10" ht="22.5" customHeight="1">
      <c r="A65" s="106"/>
      <c r="B65" s="411" t="s">
        <v>498</v>
      </c>
      <c r="C65" s="331"/>
      <c r="D65" s="331"/>
      <c r="F65" s="443"/>
      <c r="H65" s="411"/>
      <c r="I65" s="332"/>
      <c r="J65" s="424"/>
    </row>
    <row r="66" spans="1:10" ht="22.5" customHeight="1">
      <c r="A66" s="106"/>
      <c r="B66" s="331" t="s">
        <v>485</v>
      </c>
      <c r="C66" s="332"/>
      <c r="D66" s="331"/>
      <c r="F66" s="442"/>
      <c r="H66" s="331"/>
      <c r="I66" s="332"/>
      <c r="J66" s="424"/>
    </row>
    <row r="67" spans="1:10" ht="22.5" customHeight="1">
      <c r="A67" s="106"/>
      <c r="B67" s="331" t="s">
        <v>487</v>
      </c>
      <c r="C67" s="332"/>
      <c r="D67" s="331"/>
      <c r="F67" s="442"/>
      <c r="H67" s="331"/>
      <c r="I67" s="331"/>
      <c r="J67" s="310"/>
    </row>
    <row r="68" spans="1:10" ht="22.5" customHeight="1">
      <c r="A68" s="106"/>
      <c r="B68" s="332"/>
      <c r="C68" s="332"/>
      <c r="D68" s="331"/>
      <c r="E68" s="331"/>
      <c r="F68" s="332"/>
      <c r="G68" s="331"/>
      <c r="H68" s="437"/>
      <c r="I68" s="411"/>
      <c r="J68" s="412"/>
    </row>
    <row r="69" spans="1:10" ht="22.5" customHeight="1">
      <c r="A69" s="106"/>
      <c r="B69" s="411" t="s">
        <v>484</v>
      </c>
      <c r="C69" s="331"/>
      <c r="D69" s="331"/>
      <c r="E69" s="411"/>
      <c r="F69" s="411"/>
      <c r="G69" s="411"/>
      <c r="H69" s="437"/>
      <c r="I69" s="411"/>
      <c r="J69" s="412"/>
    </row>
    <row r="70" spans="1:10" ht="22.5" customHeight="1">
      <c r="A70" s="106"/>
      <c r="B70" s="331" t="s">
        <v>480</v>
      </c>
      <c r="C70" s="332"/>
      <c r="D70" s="331"/>
      <c r="E70" s="331"/>
      <c r="F70" s="331"/>
      <c r="G70" s="331"/>
      <c r="H70" s="437"/>
      <c r="I70" s="331"/>
      <c r="J70" s="412"/>
    </row>
    <row r="71" spans="1:10" ht="22.5" customHeight="1">
      <c r="A71" s="106"/>
      <c r="B71" s="331" t="s">
        <v>481</v>
      </c>
      <c r="C71" s="332"/>
      <c r="D71" s="331"/>
      <c r="E71" s="331"/>
      <c r="F71" s="331"/>
      <c r="G71" s="331"/>
      <c r="H71" s="437"/>
      <c r="I71" s="331"/>
      <c r="J71" s="412"/>
    </row>
    <row r="72" spans="1:7" ht="21.75">
      <c r="A72" s="106"/>
      <c r="B72" s="106"/>
      <c r="C72" s="106"/>
      <c r="D72" s="106"/>
      <c r="E72" s="438"/>
      <c r="F72" s="106"/>
      <c r="G72" s="106"/>
    </row>
    <row r="73" ht="21.75">
      <c r="E73" s="408"/>
    </row>
    <row r="74" ht="21.75">
      <c r="E74" s="408"/>
    </row>
    <row r="75" ht="21.75">
      <c r="E75" s="408"/>
    </row>
    <row r="76" ht="21.75">
      <c r="E76" s="408"/>
    </row>
    <row r="77" ht="21.75">
      <c r="E77" s="408"/>
    </row>
    <row r="78" ht="21.75">
      <c r="E78" s="408"/>
    </row>
  </sheetData>
  <sheetProtection/>
  <mergeCells count="13">
    <mergeCell ref="C53:D53"/>
    <mergeCell ref="C54:D54"/>
    <mergeCell ref="C59:D59"/>
    <mergeCell ref="C45:D45"/>
    <mergeCell ref="C46:D46"/>
    <mergeCell ref="C47:D47"/>
    <mergeCell ref="C52:D52"/>
    <mergeCell ref="B1:G1"/>
    <mergeCell ref="E4:F4"/>
    <mergeCell ref="C6:D6"/>
    <mergeCell ref="B4:B5"/>
    <mergeCell ref="C4:D5"/>
    <mergeCell ref="G4:G5"/>
  </mergeCells>
  <printOptions/>
  <pageMargins left="0.3937007874015748" right="0" top="0.6692913385826772" bottom="0.4330708661417323" header="0.4724409448818898" footer="0.35433070866141736"/>
  <pageSetup horizontalDpi="300" verticalDpi="300" orientation="portrait" paperSize="9" scale="95" r:id="rId1"/>
  <headerFooter alignWithMargins="0">
    <oddHeader xml:space="preserve">&amp;R&amp;"TH SarabunPSK,ธรรมดา"&amp;14แบบ ปร.4  แผ่นที่ &amp;P/13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6"/>
  <sheetViews>
    <sheetView showGridLines="0" zoomScalePageLayoutView="0" workbookViewId="0" topLeftCell="A184">
      <selection activeCell="M7" sqref="M7"/>
    </sheetView>
  </sheetViews>
  <sheetFormatPr defaultColWidth="9.16015625" defaultRowHeight="17.25"/>
  <cols>
    <col min="1" max="1" width="4.16015625" style="57" customWidth="1"/>
    <col min="2" max="2" width="5.83203125" style="57" customWidth="1"/>
    <col min="3" max="3" width="9.5" style="106" customWidth="1"/>
    <col min="4" max="4" width="36.5" style="57" customWidth="1"/>
    <col min="5" max="5" width="7.5" style="57" customWidth="1"/>
    <col min="6" max="6" width="9.83203125" style="57" customWidth="1"/>
    <col min="7" max="8" width="10.66015625" style="114" customWidth="1"/>
    <col min="9" max="9" width="10.5" style="114" bestFit="1" customWidth="1"/>
    <col min="10" max="10" width="11" style="59" bestFit="1" customWidth="1"/>
    <col min="11" max="11" width="13.66015625" style="59" customWidth="1"/>
    <col min="12" max="13" width="9.33203125" style="59" customWidth="1"/>
    <col min="14" max="14" width="9.33203125" style="57" customWidth="1"/>
    <col min="15" max="15" width="16.5" style="57" customWidth="1"/>
    <col min="16" max="16" width="38" style="57" customWidth="1"/>
    <col min="17" max="17" width="8.5" style="57" customWidth="1"/>
    <col min="18" max="18" width="14.5" style="57" bestFit="1" customWidth="1"/>
    <col min="19" max="19" width="10.83203125" style="58" customWidth="1"/>
    <col min="20" max="20" width="10.5" style="58" customWidth="1"/>
    <col min="21" max="21" width="10.5" style="59" customWidth="1"/>
    <col min="22" max="22" width="14.5" style="58" customWidth="1"/>
    <col min="23" max="16384" width="9.16015625" style="57" customWidth="1"/>
  </cols>
  <sheetData>
    <row r="1" spans="2:14" ht="30.75" customHeight="1">
      <c r="B1" s="502" t="s">
        <v>488</v>
      </c>
      <c r="C1" s="502"/>
      <c r="D1" s="502"/>
      <c r="E1" s="502"/>
      <c r="F1" s="502"/>
      <c r="G1" s="502"/>
      <c r="H1" s="502"/>
      <c r="I1" s="502"/>
      <c r="J1" s="502"/>
      <c r="K1" s="502"/>
      <c r="L1" s="119"/>
      <c r="M1" s="119"/>
      <c r="N1" s="56"/>
    </row>
    <row r="2" spans="2:22" ht="22.5" customHeight="1">
      <c r="B2" s="314" t="s">
        <v>0</v>
      </c>
      <c r="C2" s="315"/>
      <c r="D2" s="325" t="s">
        <v>385</v>
      </c>
      <c r="E2" s="316"/>
      <c r="F2" s="317"/>
      <c r="G2" s="318"/>
      <c r="H2" s="317"/>
      <c r="I2" s="326" t="s">
        <v>184</v>
      </c>
      <c r="J2" s="503" t="str">
        <f>หมวดงาน!F2</f>
        <v>8440+ข.163/ส.ค./48 + </v>
      </c>
      <c r="K2" s="504"/>
      <c r="L2" s="120"/>
      <c r="M2" s="120"/>
      <c r="S2" s="57"/>
      <c r="T2" s="57"/>
      <c r="U2" s="57"/>
      <c r="V2" s="57"/>
    </row>
    <row r="3" spans="2:22" ht="22.5" customHeight="1">
      <c r="B3" s="319" t="s">
        <v>3</v>
      </c>
      <c r="C3" s="320"/>
      <c r="D3" s="387" t="str">
        <f>ใบสรุปราคา!D3</f>
        <v>โรงพยาบาลอรัญประเทศ    จังหวัดสระแก้ว </v>
      </c>
      <c r="E3" s="321"/>
      <c r="F3" s="322"/>
      <c r="G3" s="323"/>
      <c r="H3" s="324"/>
      <c r="I3" s="327" t="s">
        <v>4</v>
      </c>
      <c r="J3" s="505" t="s">
        <v>450</v>
      </c>
      <c r="K3" s="506"/>
      <c r="L3" s="121"/>
      <c r="M3" s="121"/>
      <c r="S3" s="57"/>
      <c r="T3" s="57"/>
      <c r="U3" s="57"/>
      <c r="V3" s="57"/>
    </row>
    <row r="4" spans="2:22" ht="22.5" customHeight="1">
      <c r="B4" s="447" t="s">
        <v>186</v>
      </c>
      <c r="C4" s="448"/>
      <c r="D4" s="449" t="s">
        <v>490</v>
      </c>
      <c r="E4" s="450"/>
      <c r="F4" s="451" t="s">
        <v>489</v>
      </c>
      <c r="G4" s="452"/>
      <c r="H4" s="453"/>
      <c r="I4" s="454" t="s">
        <v>5</v>
      </c>
      <c r="J4" s="429" t="s">
        <v>491</v>
      </c>
      <c r="K4" s="455" t="s">
        <v>492</v>
      </c>
      <c r="L4" s="122"/>
      <c r="M4" s="122"/>
      <c r="S4" s="57"/>
      <c r="T4" s="57"/>
      <c r="U4" s="57"/>
      <c r="V4" s="57"/>
    </row>
    <row r="5" spans="2:22" ht="6" customHeight="1">
      <c r="B5" s="60"/>
      <c r="C5" s="61"/>
      <c r="D5" s="62"/>
      <c r="E5" s="63"/>
      <c r="F5" s="64"/>
      <c r="G5" s="64"/>
      <c r="H5" s="65"/>
      <c r="I5" s="64"/>
      <c r="J5" s="66"/>
      <c r="K5" s="67"/>
      <c r="L5" s="67"/>
      <c r="M5" s="67"/>
      <c r="S5" s="57"/>
      <c r="T5" s="57"/>
      <c r="U5" s="57"/>
      <c r="V5" s="57"/>
    </row>
    <row r="6" spans="2:22" ht="22.5" customHeight="1">
      <c r="B6" s="48" t="s">
        <v>8</v>
      </c>
      <c r="C6" s="49" t="s">
        <v>11</v>
      </c>
      <c r="D6" s="49"/>
      <c r="E6" s="48" t="s">
        <v>12</v>
      </c>
      <c r="F6" s="50" t="s">
        <v>13</v>
      </c>
      <c r="G6" s="51" t="s">
        <v>14</v>
      </c>
      <c r="H6" s="52"/>
      <c r="I6" s="53" t="s">
        <v>15</v>
      </c>
      <c r="J6" s="54"/>
      <c r="K6" s="55" t="s">
        <v>16</v>
      </c>
      <c r="L6" s="63"/>
      <c r="M6" s="63"/>
      <c r="S6" s="57"/>
      <c r="T6" s="57"/>
      <c r="U6" s="57"/>
      <c r="V6" s="57"/>
    </row>
    <row r="7" spans="2:22" ht="22.5" customHeight="1">
      <c r="B7" s="68" t="s">
        <v>2</v>
      </c>
      <c r="C7" s="69"/>
      <c r="D7" s="69"/>
      <c r="E7" s="68"/>
      <c r="F7" s="69"/>
      <c r="G7" s="70" t="s">
        <v>17</v>
      </c>
      <c r="H7" s="71" t="s">
        <v>18</v>
      </c>
      <c r="I7" s="70" t="s">
        <v>17</v>
      </c>
      <c r="J7" s="71" t="s">
        <v>18</v>
      </c>
      <c r="K7" s="72"/>
      <c r="L7" s="123"/>
      <c r="M7" s="123"/>
      <c r="S7" s="57"/>
      <c r="T7" s="57"/>
      <c r="U7" s="57"/>
      <c r="V7" s="57"/>
    </row>
    <row r="8" spans="2:22" ht="22.5" customHeight="1">
      <c r="B8" s="73"/>
      <c r="C8" s="115" t="s">
        <v>205</v>
      </c>
      <c r="D8" s="103"/>
      <c r="E8" s="75"/>
      <c r="F8" s="76"/>
      <c r="G8" s="77"/>
      <c r="H8" s="78"/>
      <c r="I8" s="76"/>
      <c r="J8" s="79"/>
      <c r="K8" s="78"/>
      <c r="L8" s="67"/>
      <c r="M8" s="67"/>
      <c r="S8" s="57"/>
      <c r="T8" s="57"/>
      <c r="U8" s="57"/>
      <c r="V8" s="57"/>
    </row>
    <row r="9" spans="2:22" ht="22.5" customHeight="1">
      <c r="B9" s="73"/>
      <c r="C9" s="116" t="s">
        <v>206</v>
      </c>
      <c r="D9" s="103"/>
      <c r="E9" s="75"/>
      <c r="F9" s="76"/>
      <c r="G9" s="77"/>
      <c r="H9" s="78"/>
      <c r="I9" s="76"/>
      <c r="J9" s="79"/>
      <c r="K9" s="78"/>
      <c r="L9" s="67"/>
      <c r="M9" s="67"/>
      <c r="S9" s="57"/>
      <c r="T9" s="57"/>
      <c r="U9" s="57"/>
      <c r="V9" s="57"/>
    </row>
    <row r="10" spans="2:22" ht="22.5" customHeight="1">
      <c r="B10" s="73"/>
      <c r="C10" s="118" t="s">
        <v>211</v>
      </c>
      <c r="D10" s="74"/>
      <c r="E10" s="75"/>
      <c r="F10" s="76"/>
      <c r="G10" s="77"/>
      <c r="H10" s="78"/>
      <c r="I10" s="76"/>
      <c r="J10" s="79"/>
      <c r="K10" s="78"/>
      <c r="L10" s="67"/>
      <c r="M10" s="67"/>
      <c r="S10" s="57"/>
      <c r="T10" s="57"/>
      <c r="U10" s="57"/>
      <c r="V10" s="57"/>
    </row>
    <row r="11" spans="2:13" s="393" customFormat="1" ht="22.5" customHeight="1">
      <c r="B11" s="73"/>
      <c r="C11" s="118" t="s">
        <v>212</v>
      </c>
      <c r="D11" s="74"/>
      <c r="E11" s="75"/>
      <c r="F11" s="83"/>
      <c r="G11" s="83"/>
      <c r="H11" s="91" t="s">
        <v>2</v>
      </c>
      <c r="I11" s="83"/>
      <c r="J11" s="91" t="s">
        <v>2</v>
      </c>
      <c r="K11" s="91" t="s">
        <v>2</v>
      </c>
      <c r="L11" s="392"/>
      <c r="M11" s="392"/>
    </row>
    <row r="12" spans="2:13" s="393" customFormat="1" ht="22.5" customHeight="1">
      <c r="B12" s="456">
        <v>1</v>
      </c>
      <c r="C12" s="98" t="s">
        <v>188</v>
      </c>
      <c r="D12" s="99"/>
      <c r="E12" s="100" t="s">
        <v>19</v>
      </c>
      <c r="F12" s="457">
        <v>2</v>
      </c>
      <c r="G12" s="101">
        <v>12000</v>
      </c>
      <c r="H12" s="101">
        <f>F12*G12</f>
        <v>24000</v>
      </c>
      <c r="I12" s="102">
        <v>0</v>
      </c>
      <c r="J12" s="101">
        <f>F12*I12</f>
        <v>0</v>
      </c>
      <c r="K12" s="102">
        <f>H12+J12</f>
        <v>24000</v>
      </c>
      <c r="L12" s="392"/>
      <c r="M12" s="392"/>
    </row>
    <row r="13" spans="2:15" s="393" customFormat="1" ht="22.5" customHeight="1">
      <c r="B13" s="80">
        <v>2</v>
      </c>
      <c r="C13" s="81" t="s">
        <v>425</v>
      </c>
      <c r="D13" s="82"/>
      <c r="E13" s="75"/>
      <c r="F13" s="83"/>
      <c r="G13" s="83"/>
      <c r="H13" s="91" t="s">
        <v>2</v>
      </c>
      <c r="I13" s="83"/>
      <c r="J13" s="91" t="s">
        <v>2</v>
      </c>
      <c r="K13" s="91" t="s">
        <v>2</v>
      </c>
      <c r="L13" s="394"/>
      <c r="M13" s="394"/>
      <c r="O13" s="395" t="e">
        <f>#REF!*(#REF!+#REF!)</f>
        <v>#REF!</v>
      </c>
    </row>
    <row r="14" spans="2:15" s="393" customFormat="1" ht="22.5" customHeight="1">
      <c r="B14" s="80"/>
      <c r="C14" s="89" t="s">
        <v>493</v>
      </c>
      <c r="D14" s="82"/>
      <c r="E14" s="80" t="s">
        <v>20</v>
      </c>
      <c r="F14" s="83">
        <v>84</v>
      </c>
      <c r="G14" s="83">
        <v>12500</v>
      </c>
      <c r="H14" s="83">
        <f>F14*G14</f>
        <v>1050000</v>
      </c>
      <c r="I14" s="83">
        <v>0</v>
      </c>
      <c r="J14" s="83">
        <f>F14*I14</f>
        <v>0</v>
      </c>
      <c r="K14" s="83">
        <f>H14+J14</f>
        <v>1050000</v>
      </c>
      <c r="L14" s="394"/>
      <c r="M14" s="394"/>
      <c r="O14" s="395" t="e">
        <f>#REF!*(#REF!+#REF!)</f>
        <v>#REF!</v>
      </c>
    </row>
    <row r="15" spans="2:15" s="393" customFormat="1" ht="22.5" customHeight="1">
      <c r="B15" s="80">
        <v>3</v>
      </c>
      <c r="C15" s="81" t="s">
        <v>214</v>
      </c>
      <c r="D15" s="82"/>
      <c r="E15" s="80" t="s">
        <v>20</v>
      </c>
      <c r="F15" s="83">
        <v>84</v>
      </c>
      <c r="G15" s="83">
        <v>0</v>
      </c>
      <c r="H15" s="83">
        <f>F15*G15</f>
        <v>0</v>
      </c>
      <c r="I15" s="83">
        <v>300</v>
      </c>
      <c r="J15" s="83">
        <f>F15*I15</f>
        <v>25200</v>
      </c>
      <c r="K15" s="83">
        <f>H15+J15</f>
        <v>25200</v>
      </c>
      <c r="L15" s="394"/>
      <c r="M15" s="394"/>
      <c r="O15" s="395" t="e">
        <f>#REF!*(#REF!+#REF!)</f>
        <v>#REF!</v>
      </c>
    </row>
    <row r="16" spans="2:15" s="393" customFormat="1" ht="22.5" customHeight="1">
      <c r="B16" s="80">
        <v>4</v>
      </c>
      <c r="C16" s="458" t="s">
        <v>195</v>
      </c>
      <c r="D16" s="98"/>
      <c r="E16" s="80" t="s">
        <v>21</v>
      </c>
      <c r="F16" s="83">
        <v>260</v>
      </c>
      <c r="G16" s="83">
        <v>0</v>
      </c>
      <c r="H16" s="83">
        <f>F16*G16</f>
        <v>0</v>
      </c>
      <c r="I16" s="83">
        <v>60</v>
      </c>
      <c r="J16" s="83">
        <f>F16*I16</f>
        <v>15600</v>
      </c>
      <c r="K16" s="83">
        <f>H16+J16</f>
        <v>15600</v>
      </c>
      <c r="L16" s="394"/>
      <c r="M16" s="394"/>
      <c r="O16" s="395" t="e">
        <f>#REF!*(#REF!+#REF!)</f>
        <v>#REF!</v>
      </c>
    </row>
    <row r="17" spans="2:15" s="393" customFormat="1" ht="22.5" customHeight="1">
      <c r="B17" s="80">
        <v>5</v>
      </c>
      <c r="C17" s="98" t="s">
        <v>187</v>
      </c>
      <c r="D17" s="99"/>
      <c r="E17" s="100" t="s">
        <v>19</v>
      </c>
      <c r="F17" s="101">
        <v>1</v>
      </c>
      <c r="G17" s="457">
        <v>71000</v>
      </c>
      <c r="H17" s="101">
        <f>F17*G17</f>
        <v>71000</v>
      </c>
      <c r="I17" s="102">
        <v>0</v>
      </c>
      <c r="J17" s="101">
        <f>F17*I17</f>
        <v>0</v>
      </c>
      <c r="K17" s="102">
        <f>H17+J17</f>
        <v>71000</v>
      </c>
      <c r="L17" s="394"/>
      <c r="M17" s="420">
        <f>60000+G19+I15+G14</f>
        <v>73100</v>
      </c>
      <c r="O17" s="395" t="e">
        <f>#REF!*(#REF!+#REF!)</f>
        <v>#REF!</v>
      </c>
    </row>
    <row r="18" spans="2:15" s="393" customFormat="1" ht="22.5" customHeight="1">
      <c r="B18" s="80"/>
      <c r="C18" s="98" t="s">
        <v>392</v>
      </c>
      <c r="D18" s="99"/>
      <c r="E18" s="100"/>
      <c r="F18" s="101"/>
      <c r="G18" s="457"/>
      <c r="H18" s="101"/>
      <c r="I18" s="102"/>
      <c r="J18" s="101"/>
      <c r="K18" s="102"/>
      <c r="L18" s="394"/>
      <c r="M18" s="394"/>
      <c r="O18" s="395" t="e">
        <f>#REF!*(#REF!+#REF!)</f>
        <v>#REF!</v>
      </c>
    </row>
    <row r="19" spans="2:15" s="393" customFormat="1" ht="22.5" customHeight="1">
      <c r="B19" s="80">
        <v>6</v>
      </c>
      <c r="C19" s="98" t="s">
        <v>426</v>
      </c>
      <c r="D19" s="99"/>
      <c r="E19" s="100" t="s">
        <v>19</v>
      </c>
      <c r="F19" s="101">
        <v>84</v>
      </c>
      <c r="G19" s="101">
        <v>300</v>
      </c>
      <c r="H19" s="101">
        <f>F19*G19</f>
        <v>25200</v>
      </c>
      <c r="I19" s="102">
        <v>0</v>
      </c>
      <c r="J19" s="101">
        <f>F19*I19</f>
        <v>0</v>
      </c>
      <c r="K19" s="102">
        <f>H19+J19</f>
        <v>25200</v>
      </c>
      <c r="L19" s="396"/>
      <c r="M19" s="396"/>
      <c r="O19" s="395"/>
    </row>
    <row r="20" spans="2:15" s="393" customFormat="1" ht="22.5" customHeight="1">
      <c r="B20" s="391"/>
      <c r="C20" s="98" t="s">
        <v>427</v>
      </c>
      <c r="D20" s="98"/>
      <c r="E20" s="100"/>
      <c r="F20" s="101"/>
      <c r="G20" s="101"/>
      <c r="H20" s="101"/>
      <c r="I20" s="102"/>
      <c r="J20" s="101"/>
      <c r="K20" s="102"/>
      <c r="L20" s="396"/>
      <c r="M20" s="396"/>
      <c r="O20" s="395"/>
    </row>
    <row r="21" spans="2:15" s="393" customFormat="1" ht="22.5" customHeight="1">
      <c r="B21" s="80">
        <v>7</v>
      </c>
      <c r="C21" s="81" t="s">
        <v>200</v>
      </c>
      <c r="D21" s="82"/>
      <c r="E21" s="80" t="s">
        <v>372</v>
      </c>
      <c r="F21" s="83">
        <v>354</v>
      </c>
      <c r="G21" s="83">
        <v>0</v>
      </c>
      <c r="H21" s="83">
        <f>F21*G21</f>
        <v>0</v>
      </c>
      <c r="I21" s="83">
        <v>125</v>
      </c>
      <c r="J21" s="83">
        <f>F21*I21</f>
        <v>44250</v>
      </c>
      <c r="K21" s="83">
        <f>H21+J21</f>
        <v>44250</v>
      </c>
      <c r="L21" s="396" t="e">
        <f>+#REF!*0.5</f>
        <v>#REF!</v>
      </c>
      <c r="M21" s="396"/>
      <c r="O21" s="395"/>
    </row>
    <row r="22" spans="2:16" s="393" customFormat="1" ht="22.5" customHeight="1">
      <c r="B22" s="80">
        <v>8</v>
      </c>
      <c r="C22" s="81" t="s">
        <v>22</v>
      </c>
      <c r="D22" s="82"/>
      <c r="E22" s="80" t="s">
        <v>372</v>
      </c>
      <c r="F22" s="83">
        <v>9</v>
      </c>
      <c r="G22" s="83">
        <v>665</v>
      </c>
      <c r="H22" s="83">
        <f>F22*G22</f>
        <v>5985</v>
      </c>
      <c r="I22" s="83">
        <v>91</v>
      </c>
      <c r="J22" s="83">
        <f>F22*I22</f>
        <v>819</v>
      </c>
      <c r="K22" s="83">
        <f>H22+J22</f>
        <v>6804</v>
      </c>
      <c r="L22" s="396" t="e">
        <f>+#REF!*0.3</f>
        <v>#REF!</v>
      </c>
      <c r="M22" s="396"/>
      <c r="O22" s="395"/>
      <c r="P22" s="393">
        <v>0.9</v>
      </c>
    </row>
    <row r="23" spans="2:15" s="393" customFormat="1" ht="22.5" customHeight="1">
      <c r="B23" s="80">
        <v>9</v>
      </c>
      <c r="C23" s="81" t="s">
        <v>194</v>
      </c>
      <c r="D23" s="82"/>
      <c r="E23" s="80" t="s">
        <v>372</v>
      </c>
      <c r="F23" s="83">
        <v>7</v>
      </c>
      <c r="G23" s="83">
        <v>1581</v>
      </c>
      <c r="H23" s="83">
        <f>F23*G23</f>
        <v>11067</v>
      </c>
      <c r="I23" s="83">
        <f>'[7]ค่าเหล็ก'!$H$10</f>
        <v>398</v>
      </c>
      <c r="J23" s="83">
        <f>F23*I23</f>
        <v>2786</v>
      </c>
      <c r="K23" s="83">
        <f>H23+J23</f>
        <v>13853</v>
      </c>
      <c r="L23" s="396"/>
      <c r="M23" s="396"/>
      <c r="O23" s="395"/>
    </row>
    <row r="24" spans="2:15" s="393" customFormat="1" ht="22.5" customHeight="1">
      <c r="B24" s="80">
        <v>10</v>
      </c>
      <c r="C24" s="81" t="s">
        <v>369</v>
      </c>
      <c r="D24" s="82"/>
      <c r="E24" s="80" t="s">
        <v>372</v>
      </c>
      <c r="F24" s="83">
        <v>118</v>
      </c>
      <c r="G24" s="83">
        <v>2092</v>
      </c>
      <c r="H24" s="83">
        <f>F24*G24</f>
        <v>246856</v>
      </c>
      <c r="I24" s="83">
        <f>'[7]ค่าเหล็ก'!$H$13</f>
        <v>485</v>
      </c>
      <c r="J24" s="83">
        <f>F24*I24</f>
        <v>57230</v>
      </c>
      <c r="K24" s="83">
        <f>H24+J24</f>
        <v>304086</v>
      </c>
      <c r="L24" s="394" t="e">
        <f>+#REF!*0.25</f>
        <v>#REF!</v>
      </c>
      <c r="M24" s="394"/>
      <c r="O24" s="395" t="e">
        <f>#REF!*(#REF!+#REF!)</f>
        <v>#REF!</v>
      </c>
    </row>
    <row r="25" spans="2:15" s="393" customFormat="1" ht="22.5" customHeight="1">
      <c r="B25" s="80">
        <v>11</v>
      </c>
      <c r="C25" s="85" t="s">
        <v>393</v>
      </c>
      <c r="D25" s="86"/>
      <c r="E25" s="87"/>
      <c r="F25" s="79"/>
      <c r="G25" s="128"/>
      <c r="H25" s="78"/>
      <c r="I25" s="76"/>
      <c r="J25" s="78"/>
      <c r="K25" s="129"/>
      <c r="L25" s="394"/>
      <c r="M25" s="394"/>
      <c r="O25" s="395"/>
    </row>
    <row r="26" spans="2:15" s="393" customFormat="1" ht="22.5" customHeight="1">
      <c r="B26" s="80"/>
      <c r="C26" s="88" t="s">
        <v>394</v>
      </c>
      <c r="D26" s="86"/>
      <c r="E26" s="87" t="s">
        <v>6</v>
      </c>
      <c r="F26" s="79">
        <v>130</v>
      </c>
      <c r="G26" s="128">
        <f>'[7]ค่าเหล็ก'!$G$14</f>
        <v>280</v>
      </c>
      <c r="H26" s="78">
        <f>G26*F26</f>
        <v>36400</v>
      </c>
      <c r="I26" s="76">
        <v>0</v>
      </c>
      <c r="J26" s="78">
        <f>I26*F26</f>
        <v>0</v>
      </c>
      <c r="K26" s="129">
        <f>(G26+I26)*F26</f>
        <v>36400</v>
      </c>
      <c r="L26" s="394"/>
      <c r="M26" s="394"/>
      <c r="O26" s="395" t="e">
        <f>#REF!*(#REF!+#REF!)</f>
        <v>#REF!</v>
      </c>
    </row>
    <row r="27" spans="2:15" s="393" customFormat="1" ht="22.5" customHeight="1">
      <c r="B27" s="80"/>
      <c r="C27" s="85" t="s">
        <v>395</v>
      </c>
      <c r="D27" s="86"/>
      <c r="E27" s="87" t="s">
        <v>373</v>
      </c>
      <c r="F27" s="79">
        <v>39</v>
      </c>
      <c r="G27" s="128">
        <f>'[7]ค่าเหล็ก'!$G$15</f>
        <v>260</v>
      </c>
      <c r="H27" s="78">
        <f>G27*F27</f>
        <v>10140</v>
      </c>
      <c r="I27" s="76">
        <v>0</v>
      </c>
      <c r="J27" s="78">
        <f>I27*F27</f>
        <v>0</v>
      </c>
      <c r="K27" s="129">
        <f>(G27+I27)*F27</f>
        <v>10140</v>
      </c>
      <c r="L27" s="394"/>
      <c r="M27" s="394"/>
      <c r="O27" s="395" t="e">
        <f>#REF!*(#REF!+#REF!)</f>
        <v>#REF!</v>
      </c>
    </row>
    <row r="28" spans="2:15" s="393" customFormat="1" ht="22.5" customHeight="1">
      <c r="B28" s="80"/>
      <c r="C28" s="88" t="s">
        <v>396</v>
      </c>
      <c r="D28" s="86"/>
      <c r="E28" s="87" t="s">
        <v>6</v>
      </c>
      <c r="F28" s="79">
        <v>260</v>
      </c>
      <c r="G28" s="128">
        <v>0</v>
      </c>
      <c r="H28" s="78">
        <f>G28*F28</f>
        <v>0</v>
      </c>
      <c r="I28" s="76">
        <f>'[7]ค่าเหล็ก'!$H$15</f>
        <v>115</v>
      </c>
      <c r="J28" s="78">
        <f>I28*F28</f>
        <v>29900</v>
      </c>
      <c r="K28" s="129">
        <f>(G28+I28)*F28</f>
        <v>29900</v>
      </c>
      <c r="L28" s="394"/>
      <c r="M28" s="394"/>
      <c r="O28" s="395"/>
    </row>
    <row r="29" spans="2:15" s="393" customFormat="1" ht="22.5" customHeight="1">
      <c r="B29" s="80">
        <v>12</v>
      </c>
      <c r="C29" s="81" t="s">
        <v>24</v>
      </c>
      <c r="D29" s="82"/>
      <c r="E29" s="80" t="s">
        <v>25</v>
      </c>
      <c r="F29" s="83">
        <v>65</v>
      </c>
      <c r="G29" s="311">
        <v>27</v>
      </c>
      <c r="H29" s="83">
        <f>F29*G29</f>
        <v>1755</v>
      </c>
      <c r="I29" s="83">
        <v>0</v>
      </c>
      <c r="J29" s="83">
        <f>F29*I29</f>
        <v>0</v>
      </c>
      <c r="K29" s="83">
        <f>H29+J29</f>
        <v>1755</v>
      </c>
      <c r="L29" s="394"/>
      <c r="M29" s="394"/>
      <c r="O29" s="395" t="e">
        <f>#REF!*(#REF!+#REF!)</f>
        <v>#REF!</v>
      </c>
    </row>
    <row r="30" spans="2:15" s="393" customFormat="1" ht="22.5" customHeight="1">
      <c r="B30" s="80">
        <v>13</v>
      </c>
      <c r="C30" s="89" t="s">
        <v>370</v>
      </c>
      <c r="D30" s="82"/>
      <c r="E30" s="80"/>
      <c r="F30" s="83"/>
      <c r="G30" s="83"/>
      <c r="H30" s="83"/>
      <c r="I30" s="83"/>
      <c r="J30" s="83"/>
      <c r="K30" s="83"/>
      <c r="L30" s="394"/>
      <c r="M30" s="394"/>
      <c r="O30" s="395" t="e">
        <f>#REF!*(#REF!+#REF!)</f>
        <v>#REF!</v>
      </c>
    </row>
    <row r="31" spans="2:15" s="393" customFormat="1" ht="22.5" customHeight="1">
      <c r="B31" s="80"/>
      <c r="C31" s="81" t="s">
        <v>207</v>
      </c>
      <c r="D31" s="82"/>
      <c r="E31" s="80" t="s">
        <v>25</v>
      </c>
      <c r="F31" s="83">
        <v>42</v>
      </c>
      <c r="G31" s="459">
        <v>24.543</v>
      </c>
      <c r="H31" s="83">
        <f>F31*G31</f>
        <v>1030.806</v>
      </c>
      <c r="I31" s="311">
        <v>4.1</v>
      </c>
      <c r="J31" s="83">
        <f>F31*I31</f>
        <v>172.2</v>
      </c>
      <c r="K31" s="83">
        <f>H31+J31</f>
        <v>1203.006</v>
      </c>
      <c r="L31" s="394"/>
      <c r="M31" s="394"/>
      <c r="O31" s="395" t="e">
        <f>#REF!*(#REF!+#REF!)</f>
        <v>#REF!</v>
      </c>
    </row>
    <row r="32" spans="2:15" s="393" customFormat="1" ht="22.5" customHeight="1">
      <c r="B32" s="80"/>
      <c r="C32" s="81" t="s">
        <v>208</v>
      </c>
      <c r="D32" s="82"/>
      <c r="E32" s="80" t="s">
        <v>25</v>
      </c>
      <c r="F32" s="83">
        <v>403</v>
      </c>
      <c r="G32" s="459">
        <v>22.734</v>
      </c>
      <c r="H32" s="83">
        <f>F32*G32</f>
        <v>9161.802000000001</v>
      </c>
      <c r="I32" s="311">
        <v>4.1</v>
      </c>
      <c r="J32" s="83">
        <f>F32*I32</f>
        <v>1652.3</v>
      </c>
      <c r="K32" s="83">
        <f>H32+J32</f>
        <v>10814.102</v>
      </c>
      <c r="L32" s="394" t="e">
        <f>SUM(#REF!)</f>
        <v>#REF!</v>
      </c>
      <c r="M32" s="394"/>
      <c r="O32" s="395" t="e">
        <f>#REF!*(#REF!+#REF!)</f>
        <v>#REF!</v>
      </c>
    </row>
    <row r="33" spans="2:15" s="393" customFormat="1" ht="22.5" customHeight="1">
      <c r="B33" s="80">
        <v>14</v>
      </c>
      <c r="C33" s="89" t="s">
        <v>371</v>
      </c>
      <c r="D33" s="82"/>
      <c r="E33" s="80"/>
      <c r="F33" s="83"/>
      <c r="G33" s="459"/>
      <c r="H33" s="83"/>
      <c r="I33" s="311"/>
      <c r="J33" s="83"/>
      <c r="K33" s="83"/>
      <c r="L33" s="394" t="e">
        <f>+#REF!*0.03</f>
        <v>#REF!</v>
      </c>
      <c r="M33" s="394"/>
      <c r="O33" s="395" t="e">
        <f>#REF!*(#REF!+#REF!)</f>
        <v>#REF!</v>
      </c>
    </row>
    <row r="34" spans="2:15" s="393" customFormat="1" ht="22.5" customHeight="1">
      <c r="B34" s="75"/>
      <c r="C34" s="81" t="s">
        <v>209</v>
      </c>
      <c r="D34" s="82"/>
      <c r="E34" s="80" t="s">
        <v>25</v>
      </c>
      <c r="F34" s="83">
        <v>506</v>
      </c>
      <c r="G34" s="459">
        <v>23.151</v>
      </c>
      <c r="H34" s="83">
        <f>F34*G34</f>
        <v>11714.405999999999</v>
      </c>
      <c r="I34" s="311">
        <v>3.3</v>
      </c>
      <c r="J34" s="83">
        <f>F34*I34</f>
        <v>1669.8</v>
      </c>
      <c r="K34" s="83">
        <f>H34+J34</f>
        <v>13384.205999999998</v>
      </c>
      <c r="L34" s="394"/>
      <c r="M34" s="394"/>
      <c r="O34" s="395" t="e">
        <f>#REF!*(#REF!+#REF!)</f>
        <v>#REF!</v>
      </c>
    </row>
    <row r="35" spans="2:16" s="393" customFormat="1" ht="22.5" customHeight="1">
      <c r="B35" s="75"/>
      <c r="C35" s="81" t="s">
        <v>210</v>
      </c>
      <c r="D35" s="82"/>
      <c r="E35" s="80" t="s">
        <v>25</v>
      </c>
      <c r="F35" s="83">
        <v>115</v>
      </c>
      <c r="G35" s="459">
        <v>22.69</v>
      </c>
      <c r="H35" s="83">
        <f>F35*G35</f>
        <v>2609.3500000000004</v>
      </c>
      <c r="I35" s="311">
        <v>2.9</v>
      </c>
      <c r="J35" s="83">
        <f>F35*I35</f>
        <v>333.5</v>
      </c>
      <c r="K35" s="83">
        <f>H35+J35</f>
        <v>2942.8500000000004</v>
      </c>
      <c r="L35" s="397"/>
      <c r="M35" s="397"/>
      <c r="O35" s="395" t="e">
        <f>#REF!*(#REF!+#REF!)</f>
        <v>#REF!</v>
      </c>
      <c r="P35" s="463">
        <v>25083300</v>
      </c>
    </row>
    <row r="36" spans="2:15" s="393" customFormat="1" ht="22.5" customHeight="1">
      <c r="B36" s="75"/>
      <c r="C36" s="81" t="s">
        <v>213</v>
      </c>
      <c r="D36" s="82"/>
      <c r="E36" s="80" t="s">
        <v>25</v>
      </c>
      <c r="F36" s="83">
        <v>14155</v>
      </c>
      <c r="G36" s="459">
        <v>23.035</v>
      </c>
      <c r="H36" s="83">
        <f>F36*G36</f>
        <v>326060.425</v>
      </c>
      <c r="I36" s="311">
        <v>3.3</v>
      </c>
      <c r="J36" s="83">
        <f>F36*I36</f>
        <v>46711.5</v>
      </c>
      <c r="K36" s="83">
        <f>H36+J36</f>
        <v>372771.925</v>
      </c>
      <c r="L36" s="398"/>
      <c r="M36" s="398"/>
      <c r="O36" s="395" t="e">
        <f>#REF!*(#REF!+#REF!)</f>
        <v>#REF!</v>
      </c>
    </row>
    <row r="37" spans="2:22" ht="22.5" customHeight="1">
      <c r="B37" s="80">
        <v>15</v>
      </c>
      <c r="C37" s="81" t="s">
        <v>26</v>
      </c>
      <c r="D37" s="82"/>
      <c r="E37" s="80" t="s">
        <v>25</v>
      </c>
      <c r="F37" s="83">
        <v>513</v>
      </c>
      <c r="G37" s="311">
        <v>21.11</v>
      </c>
      <c r="H37" s="83">
        <f>F37*G37</f>
        <v>10829.43</v>
      </c>
      <c r="I37" s="83">
        <v>0</v>
      </c>
      <c r="J37" s="83">
        <f>F37*I37</f>
        <v>0</v>
      </c>
      <c r="K37" s="83">
        <f>H37+J37</f>
        <v>10829.43</v>
      </c>
      <c r="L37" s="127"/>
      <c r="M37" s="127"/>
      <c r="O37" s="84"/>
      <c r="S37" s="57"/>
      <c r="T37" s="57"/>
      <c r="U37" s="57"/>
      <c r="V37" s="57"/>
    </row>
    <row r="38" spans="2:22" ht="22.5" customHeight="1">
      <c r="B38" s="80"/>
      <c r="C38" s="81"/>
      <c r="D38" s="82"/>
      <c r="E38" s="80"/>
      <c r="F38" s="83"/>
      <c r="G38" s="415"/>
      <c r="H38" s="83"/>
      <c r="I38" s="83"/>
      <c r="J38" s="83"/>
      <c r="K38" s="83"/>
      <c r="L38" s="127"/>
      <c r="M38" s="127"/>
      <c r="O38" s="84"/>
      <c r="S38" s="57"/>
      <c r="T38" s="57"/>
      <c r="U38" s="57"/>
      <c r="V38" s="57"/>
    </row>
    <row r="39" spans="2:22" ht="22.5" customHeight="1">
      <c r="B39" s="80"/>
      <c r="C39" s="81"/>
      <c r="D39" s="82"/>
      <c r="E39" s="80"/>
      <c r="F39" s="83"/>
      <c r="G39" s="415"/>
      <c r="H39" s="83"/>
      <c r="I39" s="83"/>
      <c r="J39" s="83"/>
      <c r="K39" s="83"/>
      <c r="L39" s="127"/>
      <c r="M39" s="127"/>
      <c r="O39" s="84"/>
      <c r="S39" s="57"/>
      <c r="T39" s="57"/>
      <c r="U39" s="57"/>
      <c r="V39" s="57"/>
    </row>
    <row r="40" spans="2:22" ht="22.5" customHeight="1">
      <c r="B40" s="80"/>
      <c r="C40" s="81"/>
      <c r="D40" s="82"/>
      <c r="E40" s="80"/>
      <c r="F40" s="83"/>
      <c r="G40" s="415"/>
      <c r="H40" s="83"/>
      <c r="I40" s="83"/>
      <c r="J40" s="83"/>
      <c r="K40" s="83"/>
      <c r="L40" s="127"/>
      <c r="M40" s="127"/>
      <c r="O40" s="84"/>
      <c r="S40" s="57"/>
      <c r="T40" s="57"/>
      <c r="U40" s="57"/>
      <c r="V40" s="57"/>
    </row>
    <row r="41" spans="2:22" ht="22.5" customHeight="1">
      <c r="B41" s="75"/>
      <c r="C41" s="90"/>
      <c r="D41" s="82"/>
      <c r="E41" s="75"/>
      <c r="F41" s="83"/>
      <c r="G41" s="83"/>
      <c r="H41" s="91" t="s">
        <v>2</v>
      </c>
      <c r="I41" s="83"/>
      <c r="J41" s="91" t="s">
        <v>2</v>
      </c>
      <c r="K41" s="91" t="s">
        <v>2</v>
      </c>
      <c r="L41" s="127"/>
      <c r="M41" s="127"/>
      <c r="O41" s="84" t="e">
        <f>#REF!*(#REF!+#REF!)</f>
        <v>#REF!</v>
      </c>
      <c r="S41" s="57"/>
      <c r="T41" s="57"/>
      <c r="U41" s="57"/>
      <c r="V41" s="57"/>
    </row>
    <row r="42" spans="2:22" ht="22.5" customHeight="1">
      <c r="B42" s="75"/>
      <c r="C42" s="500" t="s">
        <v>215</v>
      </c>
      <c r="D42" s="501"/>
      <c r="E42" s="93"/>
      <c r="F42" s="94"/>
      <c r="G42" s="94"/>
      <c r="H42" s="94">
        <f>SUM(H11:H41)</f>
        <v>1843809.219</v>
      </c>
      <c r="I42" s="94"/>
      <c r="J42" s="94">
        <f>SUM(J11:J41)</f>
        <v>226324.3</v>
      </c>
      <c r="K42" s="94">
        <f>SUM(K11:K41)</f>
        <v>2070133.519</v>
      </c>
      <c r="L42" s="127"/>
      <c r="M42" s="127"/>
      <c r="O42" s="84" t="e">
        <f>#REF!*(#REF!+#REF!)</f>
        <v>#REF!</v>
      </c>
      <c r="S42" s="57"/>
      <c r="T42" s="57"/>
      <c r="U42" s="57"/>
      <c r="V42" s="57"/>
    </row>
    <row r="43" spans="2:22" ht="22.5" customHeight="1">
      <c r="B43" s="73"/>
      <c r="C43" s="118" t="s">
        <v>216</v>
      </c>
      <c r="D43" s="74"/>
      <c r="E43" s="75"/>
      <c r="F43" s="83"/>
      <c r="G43" s="83"/>
      <c r="H43" s="91" t="s">
        <v>2</v>
      </c>
      <c r="I43" s="83"/>
      <c r="J43" s="91" t="s">
        <v>2</v>
      </c>
      <c r="K43" s="91" t="s">
        <v>2</v>
      </c>
      <c r="L43" s="126"/>
      <c r="M43" s="126"/>
      <c r="O43" s="84">
        <f aca="true" t="shared" si="0" ref="O43:O56">F43*(G43+I43)</f>
        <v>0</v>
      </c>
      <c r="S43" s="57"/>
      <c r="T43" s="57"/>
      <c r="U43" s="57"/>
      <c r="V43" s="57"/>
    </row>
    <row r="44" spans="2:20" ht="22.5" customHeight="1">
      <c r="B44" s="80">
        <v>1</v>
      </c>
      <c r="C44" s="81" t="s">
        <v>369</v>
      </c>
      <c r="D44" s="82"/>
      <c r="E44" s="80" t="s">
        <v>372</v>
      </c>
      <c r="F44" s="83">
        <v>544</v>
      </c>
      <c r="G44" s="83">
        <v>2092</v>
      </c>
      <c r="H44" s="83">
        <f aca="true" t="shared" si="1" ref="H44:H60">F44*G44</f>
        <v>1138048</v>
      </c>
      <c r="I44" s="83">
        <f>'[7]ค่าเหล็ก'!$H$13</f>
        <v>485</v>
      </c>
      <c r="J44" s="83">
        <f aca="true" t="shared" si="2" ref="J44:J60">F44*I44</f>
        <v>263840</v>
      </c>
      <c r="K44" s="83">
        <f aca="true" t="shared" si="3" ref="K44:K60">H44+J44</f>
        <v>1401888</v>
      </c>
      <c r="L44" s="124"/>
      <c r="M44" s="124"/>
      <c r="O44" s="84">
        <f t="shared" si="0"/>
        <v>1401888</v>
      </c>
      <c r="S44" s="57"/>
      <c r="T44" s="57"/>
    </row>
    <row r="45" spans="2:20" ht="22.5" customHeight="1">
      <c r="B45" s="80">
        <v>2</v>
      </c>
      <c r="C45" s="81" t="s">
        <v>27</v>
      </c>
      <c r="D45" s="82"/>
      <c r="E45" s="80" t="s">
        <v>372</v>
      </c>
      <c r="F45" s="83">
        <v>113</v>
      </c>
      <c r="G45" s="83">
        <f>G44+100</f>
        <v>2192</v>
      </c>
      <c r="H45" s="83">
        <f t="shared" si="1"/>
        <v>247696</v>
      </c>
      <c r="I45" s="83">
        <f>'[7]ค่าเหล็ก'!$H$13</f>
        <v>485</v>
      </c>
      <c r="J45" s="83">
        <f t="shared" si="2"/>
        <v>54805</v>
      </c>
      <c r="K45" s="83">
        <f t="shared" si="3"/>
        <v>302501</v>
      </c>
      <c r="L45" s="124"/>
      <c r="M45" s="124">
        <f>2510+5.24*30</f>
        <v>2667.2</v>
      </c>
      <c r="O45" s="84">
        <f t="shared" si="0"/>
        <v>302501</v>
      </c>
      <c r="S45" s="57"/>
      <c r="T45" s="57"/>
    </row>
    <row r="46" spans="2:20" ht="22.5" customHeight="1">
      <c r="B46" s="80">
        <v>3</v>
      </c>
      <c r="C46" s="85" t="s">
        <v>393</v>
      </c>
      <c r="D46" s="86"/>
      <c r="E46" s="87"/>
      <c r="F46" s="79"/>
      <c r="G46" s="128"/>
      <c r="H46" s="78"/>
      <c r="I46" s="76"/>
      <c r="J46" s="78"/>
      <c r="K46" s="129"/>
      <c r="L46" s="125"/>
      <c r="M46" s="125"/>
      <c r="O46" s="84"/>
      <c r="S46" s="57"/>
      <c r="T46" s="57"/>
    </row>
    <row r="47" spans="2:20" ht="22.5" customHeight="1">
      <c r="B47" s="80"/>
      <c r="C47" s="88" t="s">
        <v>394</v>
      </c>
      <c r="D47" s="86"/>
      <c r="E47" s="87" t="s">
        <v>6</v>
      </c>
      <c r="F47" s="79">
        <v>2974</v>
      </c>
      <c r="G47" s="128">
        <f>'[7]ค่าเหล็ก'!$G$14</f>
        <v>280</v>
      </c>
      <c r="H47" s="78">
        <f>G47*F47</f>
        <v>832720</v>
      </c>
      <c r="I47" s="76">
        <v>0</v>
      </c>
      <c r="J47" s="78">
        <f>I47*F47</f>
        <v>0</v>
      </c>
      <c r="K47" s="129">
        <f>(G47+I47)*F47</f>
        <v>832720</v>
      </c>
      <c r="L47" s="125">
        <f>+F49*0.5</f>
        <v>2975</v>
      </c>
      <c r="M47" s="125"/>
      <c r="O47" s="84"/>
      <c r="S47" s="57"/>
      <c r="T47" s="57"/>
    </row>
    <row r="48" spans="2:20" ht="22.5" customHeight="1">
      <c r="B48" s="80"/>
      <c r="C48" s="85" t="s">
        <v>395</v>
      </c>
      <c r="D48" s="86"/>
      <c r="E48" s="87" t="s">
        <v>373</v>
      </c>
      <c r="F48" s="79">
        <v>893</v>
      </c>
      <c r="G48" s="128">
        <f>'[7]ค่าเหล็ก'!$G$15</f>
        <v>260</v>
      </c>
      <c r="H48" s="78">
        <f>G48*F48</f>
        <v>232180</v>
      </c>
      <c r="I48" s="76">
        <v>0</v>
      </c>
      <c r="J48" s="78">
        <f>I48*F48</f>
        <v>0</v>
      </c>
      <c r="K48" s="129">
        <f>(G48+I48)*F48</f>
        <v>232180</v>
      </c>
      <c r="L48" s="125">
        <f>+F47*0.3</f>
        <v>892.1999999999999</v>
      </c>
      <c r="M48" s="125"/>
      <c r="O48" s="84"/>
      <c r="S48" s="57"/>
      <c r="T48" s="57"/>
    </row>
    <row r="49" spans="2:20" ht="22.5" customHeight="1">
      <c r="B49" s="80"/>
      <c r="C49" s="88" t="s">
        <v>396</v>
      </c>
      <c r="D49" s="86"/>
      <c r="E49" s="87" t="s">
        <v>6</v>
      </c>
      <c r="F49" s="79">
        <v>5950</v>
      </c>
      <c r="G49" s="128">
        <v>0</v>
      </c>
      <c r="H49" s="78">
        <f>G49*F49</f>
        <v>0</v>
      </c>
      <c r="I49" s="76">
        <f>'[7]ค่าเหล็ก'!$H$15</f>
        <v>115</v>
      </c>
      <c r="J49" s="78">
        <f>I49*F49</f>
        <v>684250</v>
      </c>
      <c r="K49" s="129">
        <f>(G49+I49)*F49</f>
        <v>684250</v>
      </c>
      <c r="L49" s="125"/>
      <c r="M49" s="125"/>
      <c r="O49" s="84"/>
      <c r="S49" s="57"/>
      <c r="T49" s="57"/>
    </row>
    <row r="50" spans="2:20" ht="22.5" customHeight="1">
      <c r="B50" s="80">
        <v>8</v>
      </c>
      <c r="C50" s="81" t="s">
        <v>24</v>
      </c>
      <c r="D50" s="82"/>
      <c r="E50" s="80" t="s">
        <v>25</v>
      </c>
      <c r="F50" s="83">
        <v>1488</v>
      </c>
      <c r="G50" s="311">
        <v>27</v>
      </c>
      <c r="H50" s="83">
        <f>F50*G50</f>
        <v>40176</v>
      </c>
      <c r="I50" s="83">
        <v>0</v>
      </c>
      <c r="J50" s="83">
        <f>F50*I50</f>
        <v>0</v>
      </c>
      <c r="K50" s="83">
        <f>H50+J50</f>
        <v>40176</v>
      </c>
      <c r="L50" s="124">
        <f>+F49*0.25</f>
        <v>1487.5</v>
      </c>
      <c r="M50" s="124"/>
      <c r="O50" s="84">
        <f>F50*(G50+I50)</f>
        <v>40176</v>
      </c>
      <c r="S50" s="57"/>
      <c r="T50" s="57"/>
    </row>
    <row r="51" spans="2:20" ht="22.5" customHeight="1">
      <c r="B51" s="80">
        <v>12</v>
      </c>
      <c r="C51" s="89" t="s">
        <v>377</v>
      </c>
      <c r="D51" s="131"/>
      <c r="E51" s="87"/>
      <c r="F51" s="79"/>
      <c r="G51" s="83"/>
      <c r="H51" s="78"/>
      <c r="I51" s="76"/>
      <c r="J51" s="78"/>
      <c r="K51" s="129"/>
      <c r="L51" s="125"/>
      <c r="M51" s="125"/>
      <c r="O51" s="84"/>
      <c r="S51" s="57"/>
      <c r="T51" s="57"/>
    </row>
    <row r="52" spans="2:20" ht="22.5" customHeight="1">
      <c r="B52" s="80"/>
      <c r="C52" s="81" t="s">
        <v>207</v>
      </c>
      <c r="D52" s="82"/>
      <c r="E52" s="80" t="s">
        <v>25</v>
      </c>
      <c r="F52" s="83">
        <f>0.95*10272</f>
        <v>9758.4</v>
      </c>
      <c r="G52" s="459">
        <v>24.543</v>
      </c>
      <c r="H52" s="83">
        <f t="shared" si="1"/>
        <v>239500.41119999997</v>
      </c>
      <c r="I52" s="311">
        <v>4.1</v>
      </c>
      <c r="J52" s="83">
        <f t="shared" si="2"/>
        <v>40009.439999999995</v>
      </c>
      <c r="K52" s="83">
        <f t="shared" si="3"/>
        <v>279509.8512</v>
      </c>
      <c r="L52" s="386">
        <v>10272</v>
      </c>
      <c r="M52" s="124"/>
      <c r="O52" s="84">
        <f t="shared" si="0"/>
        <v>279509.8512</v>
      </c>
      <c r="P52" s="57">
        <v>-1</v>
      </c>
      <c r="R52" s="526">
        <f>ใบสรุปราคา!H22</f>
        <v>25083300</v>
      </c>
      <c r="S52" s="57"/>
      <c r="T52" s="57"/>
    </row>
    <row r="53" spans="2:20" ht="22.5" customHeight="1">
      <c r="B53" s="104"/>
      <c r="C53" s="81" t="s">
        <v>208</v>
      </c>
      <c r="D53" s="82"/>
      <c r="E53" s="80" t="s">
        <v>25</v>
      </c>
      <c r="F53" s="83">
        <v>16553</v>
      </c>
      <c r="G53" s="459">
        <v>22.734</v>
      </c>
      <c r="H53" s="83">
        <f t="shared" si="1"/>
        <v>376315.902</v>
      </c>
      <c r="I53" s="311">
        <v>4.1</v>
      </c>
      <c r="J53" s="83">
        <f t="shared" si="2"/>
        <v>67867.29999999999</v>
      </c>
      <c r="K53" s="83">
        <f t="shared" si="3"/>
        <v>444183.202</v>
      </c>
      <c r="L53" s="386">
        <v>17886</v>
      </c>
      <c r="M53" s="124"/>
      <c r="O53" s="84">
        <f t="shared" si="0"/>
        <v>444183.20200000005</v>
      </c>
      <c r="S53" s="57"/>
      <c r="T53" s="57"/>
    </row>
    <row r="54" spans="2:20" ht="22.5" customHeight="1">
      <c r="B54" s="80">
        <v>13</v>
      </c>
      <c r="C54" s="89" t="s">
        <v>371</v>
      </c>
      <c r="D54" s="82"/>
      <c r="E54" s="80"/>
      <c r="F54" s="83"/>
      <c r="G54" s="414"/>
      <c r="H54" s="83"/>
      <c r="I54" s="83"/>
      <c r="J54" s="83"/>
      <c r="K54" s="83"/>
      <c r="L54" s="386"/>
      <c r="M54" s="124"/>
      <c r="O54" s="84"/>
      <c r="S54" s="57"/>
      <c r="T54" s="57"/>
    </row>
    <row r="55" spans="2:20" ht="22.5" customHeight="1">
      <c r="B55" s="75"/>
      <c r="C55" s="81" t="s">
        <v>209</v>
      </c>
      <c r="D55" s="82"/>
      <c r="E55" s="80" t="s">
        <v>25</v>
      </c>
      <c r="F55" s="83">
        <v>7658</v>
      </c>
      <c r="G55" s="459">
        <v>23.151</v>
      </c>
      <c r="H55" s="83">
        <f t="shared" si="1"/>
        <v>177290.358</v>
      </c>
      <c r="I55" s="311">
        <v>3.3</v>
      </c>
      <c r="J55" s="83">
        <f t="shared" si="2"/>
        <v>25271.399999999998</v>
      </c>
      <c r="K55" s="83">
        <f t="shared" si="3"/>
        <v>202561.758</v>
      </c>
      <c r="L55" s="386">
        <v>9212</v>
      </c>
      <c r="M55" s="124"/>
      <c r="O55" s="84">
        <f t="shared" si="0"/>
        <v>202561.758</v>
      </c>
      <c r="S55" s="57"/>
      <c r="T55" s="57"/>
    </row>
    <row r="56" spans="2:20" ht="22.5" customHeight="1">
      <c r="B56" s="104"/>
      <c r="C56" s="81" t="s">
        <v>217</v>
      </c>
      <c r="D56" s="82"/>
      <c r="E56" s="80" t="s">
        <v>25</v>
      </c>
      <c r="F56" s="83">
        <v>6980</v>
      </c>
      <c r="G56" s="459">
        <v>22.693</v>
      </c>
      <c r="H56" s="83">
        <f t="shared" si="1"/>
        <v>158397.14</v>
      </c>
      <c r="I56" s="311">
        <v>3.3</v>
      </c>
      <c r="J56" s="83">
        <f t="shared" si="2"/>
        <v>23034</v>
      </c>
      <c r="K56" s="83">
        <f t="shared" si="3"/>
        <v>181431.14</v>
      </c>
      <c r="L56" s="386">
        <v>8168</v>
      </c>
      <c r="M56" s="124"/>
      <c r="O56" s="84">
        <f t="shared" si="0"/>
        <v>181431.14</v>
      </c>
      <c r="R56" s="524">
        <v>25083300</v>
      </c>
      <c r="S56" s="57"/>
      <c r="T56" s="57"/>
    </row>
    <row r="57" spans="2:20" ht="22.5" customHeight="1">
      <c r="B57" s="104"/>
      <c r="C57" s="81" t="s">
        <v>210</v>
      </c>
      <c r="D57" s="82"/>
      <c r="E57" s="80" t="s">
        <v>25</v>
      </c>
      <c r="F57" s="83">
        <v>13185</v>
      </c>
      <c r="G57" s="459">
        <v>22.69</v>
      </c>
      <c r="H57" s="83">
        <f t="shared" si="1"/>
        <v>299167.65</v>
      </c>
      <c r="I57" s="311">
        <v>2.9</v>
      </c>
      <c r="J57" s="83">
        <f t="shared" si="2"/>
        <v>38236.5</v>
      </c>
      <c r="K57" s="83">
        <f t="shared" si="3"/>
        <v>337404.15</v>
      </c>
      <c r="L57" s="386">
        <v>17074</v>
      </c>
      <c r="M57" s="124"/>
      <c r="O57" s="84">
        <f>F57*(G57+I57)</f>
        <v>337404.15</v>
      </c>
      <c r="R57" s="525">
        <f>R56-R52</f>
        <v>0</v>
      </c>
      <c r="S57" s="57"/>
      <c r="T57" s="57"/>
    </row>
    <row r="58" spans="2:20" ht="22.5" customHeight="1">
      <c r="B58" s="75"/>
      <c r="C58" s="81" t="s">
        <v>213</v>
      </c>
      <c r="D58" s="82"/>
      <c r="E58" s="80" t="s">
        <v>25</v>
      </c>
      <c r="F58" s="83">
        <v>28052</v>
      </c>
      <c r="G58" s="459">
        <v>23.035</v>
      </c>
      <c r="H58" s="83">
        <f t="shared" si="1"/>
        <v>646177.82</v>
      </c>
      <c r="I58" s="311">
        <v>2.9</v>
      </c>
      <c r="J58" s="83">
        <f t="shared" si="2"/>
        <v>81350.8</v>
      </c>
      <c r="K58" s="83">
        <f t="shared" si="3"/>
        <v>727528.62</v>
      </c>
      <c r="L58" s="386">
        <v>36636</v>
      </c>
      <c r="M58" s="124"/>
      <c r="O58" s="84">
        <f>F58*(G58+I58)</f>
        <v>727528.62</v>
      </c>
      <c r="S58" s="57"/>
      <c r="T58" s="57"/>
    </row>
    <row r="59" spans="2:20" ht="22.5" customHeight="1">
      <c r="B59" s="80">
        <v>6</v>
      </c>
      <c r="C59" s="81" t="s">
        <v>26</v>
      </c>
      <c r="D59" s="82"/>
      <c r="E59" s="80" t="s">
        <v>25</v>
      </c>
      <c r="F59" s="83">
        <v>2977</v>
      </c>
      <c r="G59" s="311">
        <v>21.11</v>
      </c>
      <c r="H59" s="83">
        <f t="shared" si="1"/>
        <v>62844.47</v>
      </c>
      <c r="I59" s="83">
        <v>0</v>
      </c>
      <c r="J59" s="83">
        <f t="shared" si="2"/>
        <v>0</v>
      </c>
      <c r="K59" s="83">
        <f t="shared" si="3"/>
        <v>62844.47</v>
      </c>
      <c r="L59" s="124" t="e">
        <f>+#REF!*0.03</f>
        <v>#REF!</v>
      </c>
      <c r="M59" s="124"/>
      <c r="O59" s="84">
        <f>F59*(G59+I59)</f>
        <v>62844.47</v>
      </c>
      <c r="S59" s="57"/>
      <c r="T59" s="57"/>
    </row>
    <row r="60" spans="2:20" ht="22.5" customHeight="1">
      <c r="B60" s="80">
        <v>7</v>
      </c>
      <c r="C60" s="81" t="s">
        <v>401</v>
      </c>
      <c r="D60" s="82"/>
      <c r="E60" s="80" t="s">
        <v>23</v>
      </c>
      <c r="F60" s="83">
        <v>1560</v>
      </c>
      <c r="G60" s="83">
        <v>260</v>
      </c>
      <c r="H60" s="83">
        <f t="shared" si="1"/>
        <v>405600</v>
      </c>
      <c r="I60" s="83">
        <v>25</v>
      </c>
      <c r="J60" s="83">
        <f t="shared" si="2"/>
        <v>39000</v>
      </c>
      <c r="K60" s="83">
        <f t="shared" si="3"/>
        <v>444600</v>
      </c>
      <c r="L60" s="124"/>
      <c r="M60" s="124"/>
      <c r="O60" s="84">
        <f>F60*(G60+I60)</f>
        <v>444600</v>
      </c>
      <c r="S60" s="57"/>
      <c r="T60" s="57"/>
    </row>
    <row r="61" spans="2:20" ht="22.5" customHeight="1">
      <c r="B61" s="80">
        <v>8</v>
      </c>
      <c r="C61" s="81" t="s">
        <v>421</v>
      </c>
      <c r="D61" s="82"/>
      <c r="E61" s="80"/>
      <c r="F61" s="83"/>
      <c r="G61" s="83"/>
      <c r="H61" s="83"/>
      <c r="I61" s="83"/>
      <c r="J61" s="83"/>
      <c r="K61" s="83"/>
      <c r="L61" s="124"/>
      <c r="M61" s="124"/>
      <c r="O61" s="84"/>
      <c r="S61" s="57"/>
      <c r="T61" s="57"/>
    </row>
    <row r="62" spans="2:20" ht="22.5" customHeight="1">
      <c r="B62" s="80"/>
      <c r="C62" s="432" t="s">
        <v>422</v>
      </c>
      <c r="D62" s="425"/>
      <c r="E62" s="433" t="s">
        <v>23</v>
      </c>
      <c r="F62" s="434">
        <v>240</v>
      </c>
      <c r="G62" s="435">
        <v>50</v>
      </c>
      <c r="H62" s="436">
        <f>F62*G62</f>
        <v>12000</v>
      </c>
      <c r="I62" s="436">
        <v>0</v>
      </c>
      <c r="J62" s="436">
        <f>F62*I62</f>
        <v>0</v>
      </c>
      <c r="K62" s="436">
        <f>H62+J62</f>
        <v>12000</v>
      </c>
      <c r="L62" s="124"/>
      <c r="M62" s="124"/>
      <c r="O62" s="84"/>
      <c r="S62" s="57"/>
      <c r="T62" s="57"/>
    </row>
    <row r="63" spans="2:20" ht="22.5" customHeight="1">
      <c r="B63" s="80"/>
      <c r="C63" s="432" t="s">
        <v>423</v>
      </c>
      <c r="D63" s="425"/>
      <c r="E63" s="433" t="s">
        <v>23</v>
      </c>
      <c r="F63" s="434">
        <v>280</v>
      </c>
      <c r="G63" s="435">
        <v>75</v>
      </c>
      <c r="H63" s="436">
        <f>F63*G63</f>
        <v>21000</v>
      </c>
      <c r="I63" s="436">
        <v>25</v>
      </c>
      <c r="J63" s="436">
        <f>F63*I63</f>
        <v>7000</v>
      </c>
      <c r="K63" s="436">
        <f>H63+J63</f>
        <v>28000</v>
      </c>
      <c r="L63" s="124"/>
      <c r="M63" s="124"/>
      <c r="O63" s="84"/>
      <c r="S63" s="57"/>
      <c r="T63" s="57"/>
    </row>
    <row r="64" spans="2:20" ht="22.5" customHeight="1">
      <c r="B64" s="80"/>
      <c r="C64" s="432"/>
      <c r="D64" s="425"/>
      <c r="E64" s="433"/>
      <c r="F64" s="434"/>
      <c r="G64" s="435"/>
      <c r="H64" s="436"/>
      <c r="I64" s="436"/>
      <c r="J64" s="436"/>
      <c r="K64" s="436"/>
      <c r="L64" s="124"/>
      <c r="M64" s="124"/>
      <c r="O64" s="84"/>
      <c r="S64" s="57"/>
      <c r="T64" s="57"/>
    </row>
    <row r="65" spans="2:20" ht="22.5" customHeight="1">
      <c r="B65" s="80"/>
      <c r="C65" s="432"/>
      <c r="D65" s="425"/>
      <c r="E65" s="433"/>
      <c r="F65" s="434"/>
      <c r="G65" s="435"/>
      <c r="H65" s="436"/>
      <c r="I65" s="436"/>
      <c r="J65" s="436"/>
      <c r="K65" s="436"/>
      <c r="L65" s="124"/>
      <c r="M65" s="124"/>
      <c r="O65" s="84"/>
      <c r="S65" s="57"/>
      <c r="T65" s="57"/>
    </row>
    <row r="66" spans="2:20" ht="22.5" customHeight="1">
      <c r="B66" s="75"/>
      <c r="C66" s="500" t="s">
        <v>218</v>
      </c>
      <c r="D66" s="501"/>
      <c r="E66" s="93"/>
      <c r="F66" s="94"/>
      <c r="G66" s="94" t="s">
        <v>185</v>
      </c>
      <c r="H66" s="94">
        <f>SUM(H43:H65)</f>
        <v>4889113.7512</v>
      </c>
      <c r="I66" s="94"/>
      <c r="J66" s="94">
        <f>SUM(J43:J65)</f>
        <v>1324664.44</v>
      </c>
      <c r="K66" s="94">
        <f>SUM(K43:K65)</f>
        <v>6213778.1912</v>
      </c>
      <c r="L66" s="127"/>
      <c r="M66" s="127"/>
      <c r="O66" s="84"/>
      <c r="S66" s="57"/>
      <c r="T66" s="57"/>
    </row>
    <row r="67" spans="2:20" ht="22.5" customHeight="1">
      <c r="B67" s="75"/>
      <c r="C67" s="118" t="s">
        <v>219</v>
      </c>
      <c r="D67" s="95"/>
      <c r="E67" s="93"/>
      <c r="F67" s="94"/>
      <c r="G67" s="94"/>
      <c r="H67" s="94"/>
      <c r="I67" s="94"/>
      <c r="J67" s="94"/>
      <c r="K67" s="94"/>
      <c r="L67" s="127"/>
      <c r="M67" s="127"/>
      <c r="O67" s="84"/>
      <c r="S67" s="57"/>
      <c r="T67" s="57"/>
    </row>
    <row r="68" spans="2:22" ht="22.5" customHeight="1">
      <c r="B68" s="130"/>
      <c r="C68" s="118" t="s">
        <v>220</v>
      </c>
      <c r="D68" s="74"/>
      <c r="E68" s="75"/>
      <c r="F68" s="83"/>
      <c r="G68" s="83"/>
      <c r="H68" s="91" t="s">
        <v>2</v>
      </c>
      <c r="I68" s="83"/>
      <c r="J68" s="91" t="s">
        <v>2</v>
      </c>
      <c r="K68" s="91" t="s">
        <v>2</v>
      </c>
      <c r="L68" s="126"/>
      <c r="M68" s="126"/>
      <c r="O68" s="84">
        <f aca="true" t="shared" si="4" ref="O68:O81">F68*(G68+I68)</f>
        <v>0</v>
      </c>
      <c r="S68" s="57"/>
      <c r="T68" s="57"/>
      <c r="U68" s="57"/>
      <c r="V68" s="57"/>
    </row>
    <row r="69" spans="2:22" ht="22.5" customHeight="1">
      <c r="B69" s="80">
        <v>1</v>
      </c>
      <c r="C69" s="89" t="s">
        <v>35</v>
      </c>
      <c r="D69" s="82"/>
      <c r="E69" s="80" t="s">
        <v>23</v>
      </c>
      <c r="F69" s="83">
        <v>910</v>
      </c>
      <c r="G69" s="83">
        <v>20</v>
      </c>
      <c r="H69" s="83">
        <f>F69*G69</f>
        <v>18200</v>
      </c>
      <c r="I69" s="83">
        <v>20</v>
      </c>
      <c r="J69" s="83">
        <f>F69*I69</f>
        <v>18200</v>
      </c>
      <c r="K69" s="83">
        <f>H69+J69</f>
        <v>36400</v>
      </c>
      <c r="L69" s="124"/>
      <c r="M69" s="124"/>
      <c r="O69" s="84">
        <f t="shared" si="4"/>
        <v>36400</v>
      </c>
      <c r="S69" s="57"/>
      <c r="T69" s="57"/>
      <c r="U69" s="57"/>
      <c r="V69" s="57"/>
    </row>
    <row r="70" spans="2:22" ht="22.5" customHeight="1">
      <c r="B70" s="80">
        <v>2</v>
      </c>
      <c r="C70" s="89" t="s">
        <v>36</v>
      </c>
      <c r="D70" s="82"/>
      <c r="E70" s="104" t="s">
        <v>2</v>
      </c>
      <c r="F70" s="83"/>
      <c r="G70" s="83"/>
      <c r="H70" s="91" t="s">
        <v>2</v>
      </c>
      <c r="I70" s="83"/>
      <c r="J70" s="91" t="s">
        <v>2</v>
      </c>
      <c r="K70" s="91" t="s">
        <v>2</v>
      </c>
      <c r="L70" s="126"/>
      <c r="M70" s="126"/>
      <c r="O70" s="84">
        <f t="shared" si="4"/>
        <v>0</v>
      </c>
      <c r="S70" s="57"/>
      <c r="T70" s="57"/>
      <c r="U70" s="57"/>
      <c r="V70" s="57"/>
    </row>
    <row r="71" spans="2:22" ht="22.5" customHeight="1">
      <c r="B71" s="105"/>
      <c r="C71" s="81" t="s">
        <v>37</v>
      </c>
      <c r="D71" s="82"/>
      <c r="E71" s="80" t="s">
        <v>23</v>
      </c>
      <c r="F71" s="83">
        <v>100</v>
      </c>
      <c r="G71" s="83">
        <v>235</v>
      </c>
      <c r="H71" s="83">
        <f>F71*G71</f>
        <v>23500</v>
      </c>
      <c r="I71" s="83">
        <v>52</v>
      </c>
      <c r="J71" s="83">
        <f>F71*I71</f>
        <v>5200</v>
      </c>
      <c r="K71" s="83">
        <f>H71+J71</f>
        <v>28700</v>
      </c>
      <c r="L71" s="124"/>
      <c r="M71" s="124"/>
      <c r="O71" s="84">
        <f t="shared" si="4"/>
        <v>28700</v>
      </c>
      <c r="S71" s="57"/>
      <c r="T71" s="57"/>
      <c r="U71" s="57"/>
      <c r="V71" s="57"/>
    </row>
    <row r="72" spans="2:22" ht="22.5" customHeight="1">
      <c r="B72" s="80">
        <v>3</v>
      </c>
      <c r="C72" s="89" t="s">
        <v>38</v>
      </c>
      <c r="D72" s="82"/>
      <c r="E72" s="104" t="s">
        <v>2</v>
      </c>
      <c r="F72" s="83"/>
      <c r="G72" s="83"/>
      <c r="H72" s="91" t="s">
        <v>2</v>
      </c>
      <c r="I72" s="83"/>
      <c r="J72" s="91" t="s">
        <v>2</v>
      </c>
      <c r="K72" s="91" t="s">
        <v>2</v>
      </c>
      <c r="L72" s="126"/>
      <c r="M72" s="126"/>
      <c r="O72" s="84">
        <f t="shared" si="4"/>
        <v>0</v>
      </c>
      <c r="S72" s="57"/>
      <c r="T72" s="57"/>
      <c r="U72" s="57"/>
      <c r="V72" s="57"/>
    </row>
    <row r="73" spans="2:22" ht="22.5" customHeight="1">
      <c r="B73" s="75"/>
      <c r="C73" s="81" t="s">
        <v>39</v>
      </c>
      <c r="D73" s="82"/>
      <c r="E73" s="80" t="s">
        <v>23</v>
      </c>
      <c r="F73" s="83">
        <v>300</v>
      </c>
      <c r="G73" s="83">
        <v>270</v>
      </c>
      <c r="H73" s="83">
        <f>F73*G73</f>
        <v>81000</v>
      </c>
      <c r="I73" s="83">
        <v>52</v>
      </c>
      <c r="J73" s="83">
        <f>F73*I73</f>
        <v>15600</v>
      </c>
      <c r="K73" s="83">
        <f>H73+J73</f>
        <v>96600</v>
      </c>
      <c r="L73" s="124"/>
      <c r="M73" s="124"/>
      <c r="O73" s="84">
        <f t="shared" si="4"/>
        <v>96600</v>
      </c>
      <c r="S73" s="57"/>
      <c r="T73" s="57"/>
      <c r="U73" s="57"/>
      <c r="V73" s="57"/>
    </row>
    <row r="74" spans="2:22" ht="22.5" customHeight="1">
      <c r="B74" s="80">
        <v>4</v>
      </c>
      <c r="C74" s="89" t="s">
        <v>38</v>
      </c>
      <c r="D74" s="82"/>
      <c r="E74" s="104" t="s">
        <v>2</v>
      </c>
      <c r="F74" s="83"/>
      <c r="G74" s="83"/>
      <c r="H74" s="91" t="s">
        <v>2</v>
      </c>
      <c r="I74" s="83"/>
      <c r="J74" s="91" t="s">
        <v>2</v>
      </c>
      <c r="K74" s="91" t="s">
        <v>2</v>
      </c>
      <c r="L74" s="126"/>
      <c r="M74" s="126"/>
      <c r="O74" s="84">
        <f t="shared" si="4"/>
        <v>0</v>
      </c>
      <c r="S74" s="57"/>
      <c r="T74" s="57"/>
      <c r="U74" s="57"/>
      <c r="V74" s="57"/>
    </row>
    <row r="75" spans="2:24" ht="22.5" customHeight="1">
      <c r="B75" s="75"/>
      <c r="C75" s="81" t="s">
        <v>39</v>
      </c>
      <c r="D75" s="82"/>
      <c r="E75" s="80" t="s">
        <v>23</v>
      </c>
      <c r="F75" s="83">
        <v>112</v>
      </c>
      <c r="G75" s="83">
        <v>270</v>
      </c>
      <c r="H75" s="83">
        <f>F75*G75</f>
        <v>30240</v>
      </c>
      <c r="I75" s="83">
        <v>52</v>
      </c>
      <c r="J75" s="83">
        <f>F75*I75</f>
        <v>5824</v>
      </c>
      <c r="K75" s="83">
        <f>H75+J75</f>
        <v>36064</v>
      </c>
      <c r="L75" s="124"/>
      <c r="M75" s="124"/>
      <c r="O75" s="84">
        <f t="shared" si="4"/>
        <v>36064</v>
      </c>
      <c r="S75" s="57"/>
      <c r="T75" s="57"/>
      <c r="U75" s="57"/>
      <c r="V75" s="57"/>
      <c r="W75" s="106"/>
      <c r="X75" s="106"/>
    </row>
    <row r="76" spans="2:22" ht="22.5" customHeight="1">
      <c r="B76" s="80">
        <v>5</v>
      </c>
      <c r="C76" s="89" t="s">
        <v>40</v>
      </c>
      <c r="D76" s="82"/>
      <c r="E76" s="104" t="s">
        <v>2</v>
      </c>
      <c r="F76" s="83"/>
      <c r="G76" s="83"/>
      <c r="H76" s="91" t="s">
        <v>2</v>
      </c>
      <c r="I76" s="83"/>
      <c r="J76" s="91" t="s">
        <v>2</v>
      </c>
      <c r="K76" s="91" t="s">
        <v>2</v>
      </c>
      <c r="L76" s="126"/>
      <c r="M76" s="126"/>
      <c r="O76" s="84">
        <f t="shared" si="4"/>
        <v>0</v>
      </c>
      <c r="S76" s="57"/>
      <c r="T76" s="57"/>
      <c r="U76" s="57"/>
      <c r="V76" s="57"/>
    </row>
    <row r="77" spans="2:22" ht="22.5" customHeight="1">
      <c r="B77" s="75"/>
      <c r="C77" s="81" t="s">
        <v>41</v>
      </c>
      <c r="D77" s="82"/>
      <c r="E77" s="80" t="s">
        <v>23</v>
      </c>
      <c r="F77" s="83">
        <v>155</v>
      </c>
      <c r="G77" s="83">
        <v>300</v>
      </c>
      <c r="H77" s="83">
        <f>F77*G77</f>
        <v>46500</v>
      </c>
      <c r="I77" s="83">
        <v>75</v>
      </c>
      <c r="J77" s="83">
        <f>F77*I77</f>
        <v>11625</v>
      </c>
      <c r="K77" s="83">
        <f>H77+J77</f>
        <v>58125</v>
      </c>
      <c r="L77" s="124"/>
      <c r="M77" s="124"/>
      <c r="O77" s="84">
        <f t="shared" si="4"/>
        <v>58125</v>
      </c>
      <c r="S77" s="57"/>
      <c r="T77" s="57"/>
      <c r="U77" s="57"/>
      <c r="V77" s="57"/>
    </row>
    <row r="78" spans="2:22" ht="22.5" customHeight="1">
      <c r="B78" s="80">
        <v>6</v>
      </c>
      <c r="C78" s="89" t="s">
        <v>42</v>
      </c>
      <c r="D78" s="82"/>
      <c r="E78" s="80" t="s">
        <v>23</v>
      </c>
      <c r="F78" s="83">
        <v>538</v>
      </c>
      <c r="G78" s="83">
        <v>80</v>
      </c>
      <c r="H78" s="83">
        <f>F78*G78</f>
        <v>43040</v>
      </c>
      <c r="I78" s="83">
        <v>94</v>
      </c>
      <c r="J78" s="83">
        <f>F78*I78</f>
        <v>50572</v>
      </c>
      <c r="K78" s="83">
        <f>H78+J78</f>
        <v>93612</v>
      </c>
      <c r="L78" s="124"/>
      <c r="M78" s="124"/>
      <c r="O78" s="84">
        <f t="shared" si="4"/>
        <v>93612</v>
      </c>
      <c r="S78" s="57"/>
      <c r="T78" s="57"/>
      <c r="U78" s="57"/>
      <c r="V78" s="57"/>
    </row>
    <row r="79" spans="2:20" ht="22.5" customHeight="1">
      <c r="B79" s="80">
        <v>7</v>
      </c>
      <c r="C79" s="81" t="s">
        <v>43</v>
      </c>
      <c r="D79" s="82"/>
      <c r="E79" s="80" t="s">
        <v>23</v>
      </c>
      <c r="F79" s="83">
        <v>414</v>
      </c>
      <c r="G79" s="83">
        <v>130</v>
      </c>
      <c r="H79" s="83">
        <f>F79*G79</f>
        <v>53820</v>
      </c>
      <c r="I79" s="83">
        <v>15</v>
      </c>
      <c r="J79" s="83">
        <f>F79*I79</f>
        <v>6210</v>
      </c>
      <c r="K79" s="83">
        <f>H79+J79</f>
        <v>60030</v>
      </c>
      <c r="L79" s="124"/>
      <c r="M79" s="124"/>
      <c r="O79" s="84">
        <f t="shared" si="4"/>
        <v>60030</v>
      </c>
      <c r="S79" s="57"/>
      <c r="T79" s="57"/>
    </row>
    <row r="80" spans="2:20" ht="22.5" customHeight="1">
      <c r="B80" s="75"/>
      <c r="C80" s="90"/>
      <c r="D80" s="82"/>
      <c r="E80" s="75"/>
      <c r="F80" s="83"/>
      <c r="G80" s="83"/>
      <c r="H80" s="91" t="s">
        <v>2</v>
      </c>
      <c r="I80" s="83"/>
      <c r="J80" s="91" t="s">
        <v>2</v>
      </c>
      <c r="K80" s="91" t="s">
        <v>2</v>
      </c>
      <c r="L80" s="126"/>
      <c r="M80" s="126"/>
      <c r="O80" s="84">
        <f t="shared" si="4"/>
        <v>0</v>
      </c>
      <c r="S80" s="57"/>
      <c r="T80" s="57"/>
    </row>
    <row r="81" spans="2:20" ht="22.5" customHeight="1">
      <c r="B81" s="75"/>
      <c r="C81" s="500" t="s">
        <v>221</v>
      </c>
      <c r="D81" s="501"/>
      <c r="E81" s="93"/>
      <c r="F81" s="94"/>
      <c r="G81" s="94"/>
      <c r="H81" s="94">
        <f>SUM(H68:H80)</f>
        <v>296300</v>
      </c>
      <c r="I81" s="94"/>
      <c r="J81" s="94">
        <f>SUM(J68:J80)</f>
        <v>113231</v>
      </c>
      <c r="K81" s="94">
        <f>SUM(K68:K80)</f>
        <v>409531</v>
      </c>
      <c r="L81" s="127"/>
      <c r="M81" s="127"/>
      <c r="O81" s="84">
        <f t="shared" si="4"/>
        <v>0</v>
      </c>
      <c r="S81" s="57"/>
      <c r="T81" s="57"/>
    </row>
    <row r="82" spans="2:20" ht="22.5" customHeight="1">
      <c r="B82" s="130"/>
      <c r="C82" s="118" t="s">
        <v>222</v>
      </c>
      <c r="D82" s="74"/>
      <c r="E82" s="75"/>
      <c r="F82" s="83"/>
      <c r="G82" s="83"/>
      <c r="H82" s="91" t="s">
        <v>2</v>
      </c>
      <c r="I82" s="83"/>
      <c r="J82" s="91" t="s">
        <v>2</v>
      </c>
      <c r="K82" s="91" t="s">
        <v>2</v>
      </c>
      <c r="L82" s="126"/>
      <c r="M82" s="126"/>
      <c r="O82" s="84">
        <f aca="true" t="shared" si="5" ref="O82:O92">F82*(G82+I82)</f>
        <v>0</v>
      </c>
      <c r="S82" s="57"/>
      <c r="T82" s="57"/>
    </row>
    <row r="83" spans="2:20" ht="22.5" customHeight="1">
      <c r="B83" s="80">
        <v>1</v>
      </c>
      <c r="C83" s="89" t="s">
        <v>223</v>
      </c>
      <c r="D83" s="82"/>
      <c r="E83" s="75" t="s">
        <v>2</v>
      </c>
      <c r="F83" s="83"/>
      <c r="G83" s="83"/>
      <c r="H83" s="91" t="s">
        <v>2</v>
      </c>
      <c r="I83" s="83"/>
      <c r="J83" s="91" t="s">
        <v>2</v>
      </c>
      <c r="K83" s="91" t="s">
        <v>2</v>
      </c>
      <c r="L83" s="126"/>
      <c r="M83" s="126"/>
      <c r="O83" s="84">
        <f t="shared" si="5"/>
        <v>0</v>
      </c>
      <c r="S83" s="57"/>
      <c r="T83" s="57"/>
    </row>
    <row r="84" spans="2:20" ht="22.5" customHeight="1">
      <c r="B84" s="75"/>
      <c r="C84" s="89" t="s">
        <v>28</v>
      </c>
      <c r="D84" s="82"/>
      <c r="E84" s="80" t="s">
        <v>23</v>
      </c>
      <c r="F84" s="83">
        <v>332</v>
      </c>
      <c r="G84" s="83">
        <v>485</v>
      </c>
      <c r="H84" s="83">
        <f>F84*G84</f>
        <v>161020</v>
      </c>
      <c r="I84" s="83">
        <v>183</v>
      </c>
      <c r="J84" s="83">
        <f>F84*I84</f>
        <v>60756</v>
      </c>
      <c r="K84" s="83">
        <f>H84+J84</f>
        <v>221776</v>
      </c>
      <c r="L84" s="124"/>
      <c r="M84" s="124"/>
      <c r="O84" s="84">
        <f t="shared" si="5"/>
        <v>221776</v>
      </c>
      <c r="S84" s="57"/>
      <c r="T84" s="57"/>
    </row>
    <row r="85" spans="2:20" ht="22.5" customHeight="1">
      <c r="B85" s="80">
        <v>2</v>
      </c>
      <c r="C85" s="89" t="s">
        <v>29</v>
      </c>
      <c r="D85" s="82"/>
      <c r="E85" s="80" t="s">
        <v>23</v>
      </c>
      <c r="F85" s="83">
        <v>233</v>
      </c>
      <c r="G85" s="83">
        <v>90</v>
      </c>
      <c r="H85" s="83">
        <f>F85*G85</f>
        <v>20970</v>
      </c>
      <c r="I85" s="83">
        <v>82</v>
      </c>
      <c r="J85" s="83">
        <f>F85*I85</f>
        <v>19106</v>
      </c>
      <c r="K85" s="83">
        <f>H85+J85</f>
        <v>40076</v>
      </c>
      <c r="L85" s="124"/>
      <c r="M85" s="124"/>
      <c r="O85" s="84">
        <f t="shared" si="5"/>
        <v>40076</v>
      </c>
      <c r="S85" s="57"/>
      <c r="T85" s="57"/>
    </row>
    <row r="86" spans="2:20" ht="22.5" customHeight="1">
      <c r="B86" s="80">
        <v>3</v>
      </c>
      <c r="C86" s="89" t="s">
        <v>30</v>
      </c>
      <c r="D86" s="82"/>
      <c r="E86" s="80" t="s">
        <v>23</v>
      </c>
      <c r="F86" s="83">
        <v>274</v>
      </c>
      <c r="G86" s="83">
        <v>85</v>
      </c>
      <c r="H86" s="83">
        <f>F86*G86</f>
        <v>23290</v>
      </c>
      <c r="I86" s="83">
        <v>61</v>
      </c>
      <c r="J86" s="83">
        <f>F86*I86</f>
        <v>16714</v>
      </c>
      <c r="K86" s="83">
        <f>H86+J86</f>
        <v>40004</v>
      </c>
      <c r="L86" s="124"/>
      <c r="M86" s="124"/>
      <c r="O86" s="84">
        <f t="shared" si="5"/>
        <v>40004</v>
      </c>
      <c r="S86" s="57"/>
      <c r="T86" s="57"/>
    </row>
    <row r="87" spans="2:20" ht="22.5" customHeight="1">
      <c r="B87" s="80">
        <v>4</v>
      </c>
      <c r="C87" s="89" t="s">
        <v>374</v>
      </c>
      <c r="D87" s="82"/>
      <c r="E87" s="75"/>
      <c r="F87" s="83"/>
      <c r="G87" s="83"/>
      <c r="H87" s="91" t="s">
        <v>2</v>
      </c>
      <c r="I87" s="83"/>
      <c r="J87" s="91" t="s">
        <v>2</v>
      </c>
      <c r="K87" s="91" t="s">
        <v>2</v>
      </c>
      <c r="L87" s="126"/>
      <c r="M87" s="126"/>
      <c r="O87" s="84">
        <f t="shared" si="5"/>
        <v>0</v>
      </c>
      <c r="S87" s="57"/>
      <c r="T87" s="57"/>
    </row>
    <row r="88" spans="2:20" ht="22.5" customHeight="1">
      <c r="B88" s="75"/>
      <c r="C88" s="81" t="s">
        <v>387</v>
      </c>
      <c r="D88" s="82"/>
      <c r="E88" s="80" t="s">
        <v>23</v>
      </c>
      <c r="F88" s="83">
        <v>1358</v>
      </c>
      <c r="G88" s="83">
        <v>185</v>
      </c>
      <c r="H88" s="83">
        <f aca="true" t="shared" si="6" ref="H88:H94">F88*G88</f>
        <v>251230</v>
      </c>
      <c r="I88" s="83">
        <v>40</v>
      </c>
      <c r="J88" s="83">
        <f aca="true" t="shared" si="7" ref="J88:J94">F88*I88</f>
        <v>54320</v>
      </c>
      <c r="K88" s="83">
        <f aca="true" t="shared" si="8" ref="K88:K94">H88+J88</f>
        <v>305550</v>
      </c>
      <c r="L88" s="124"/>
      <c r="M88" s="124">
        <f>165+85</f>
        <v>250</v>
      </c>
      <c r="N88" s="57">
        <f>55+40</f>
        <v>95</v>
      </c>
      <c r="O88" s="84">
        <f t="shared" si="5"/>
        <v>305550</v>
      </c>
      <c r="S88" s="57"/>
      <c r="T88" s="57"/>
    </row>
    <row r="89" spans="2:20" ht="22.5" customHeight="1">
      <c r="B89" s="80">
        <v>5</v>
      </c>
      <c r="C89" s="89" t="s">
        <v>428</v>
      </c>
      <c r="D89" s="82"/>
      <c r="E89" s="80" t="s">
        <v>23</v>
      </c>
      <c r="F89" s="83">
        <v>100</v>
      </c>
      <c r="G89" s="83">
        <v>285</v>
      </c>
      <c r="H89" s="83">
        <f t="shared" si="6"/>
        <v>28500</v>
      </c>
      <c r="I89" s="83">
        <v>158</v>
      </c>
      <c r="J89" s="83">
        <f t="shared" si="7"/>
        <v>15800</v>
      </c>
      <c r="K89" s="83">
        <f t="shared" si="8"/>
        <v>44300</v>
      </c>
      <c r="L89" s="124"/>
      <c r="M89" s="124"/>
      <c r="O89" s="84">
        <f t="shared" si="5"/>
        <v>44300</v>
      </c>
      <c r="S89" s="57"/>
      <c r="T89" s="57"/>
    </row>
    <row r="90" spans="2:20" ht="22.5" customHeight="1">
      <c r="B90" s="80">
        <v>6</v>
      </c>
      <c r="C90" s="89" t="s">
        <v>429</v>
      </c>
      <c r="D90" s="82"/>
      <c r="E90" s="80" t="s">
        <v>23</v>
      </c>
      <c r="F90" s="83">
        <v>288</v>
      </c>
      <c r="G90" s="83">
        <v>535</v>
      </c>
      <c r="H90" s="108">
        <f t="shared" si="6"/>
        <v>154080</v>
      </c>
      <c r="I90" s="83">
        <v>159</v>
      </c>
      <c r="J90" s="83">
        <f t="shared" si="7"/>
        <v>45792</v>
      </c>
      <c r="K90" s="83">
        <f t="shared" si="8"/>
        <v>199872</v>
      </c>
      <c r="L90" s="124"/>
      <c r="M90" s="124"/>
      <c r="O90" s="84">
        <f t="shared" si="5"/>
        <v>199872</v>
      </c>
      <c r="S90" s="57"/>
      <c r="T90" s="57"/>
    </row>
    <row r="91" spans="2:20" ht="22.5" customHeight="1">
      <c r="B91" s="80">
        <v>7</v>
      </c>
      <c r="C91" s="89" t="s">
        <v>430</v>
      </c>
      <c r="D91" s="82"/>
      <c r="E91" s="80" t="s">
        <v>23</v>
      </c>
      <c r="F91" s="83">
        <v>414</v>
      </c>
      <c r="G91" s="83">
        <v>370</v>
      </c>
      <c r="H91" s="108">
        <f t="shared" si="6"/>
        <v>153180</v>
      </c>
      <c r="I91" s="304">
        <v>107</v>
      </c>
      <c r="J91" s="83">
        <f t="shared" si="7"/>
        <v>44298</v>
      </c>
      <c r="K91" s="83">
        <f t="shared" si="8"/>
        <v>197478</v>
      </c>
      <c r="L91" s="124"/>
      <c r="M91" s="124"/>
      <c r="O91" s="84">
        <f t="shared" si="5"/>
        <v>197478</v>
      </c>
      <c r="S91" s="57"/>
      <c r="T91" s="57"/>
    </row>
    <row r="92" spans="2:20" ht="22.5" customHeight="1">
      <c r="B92" s="80">
        <v>8</v>
      </c>
      <c r="C92" s="81" t="s">
        <v>442</v>
      </c>
      <c r="D92" s="82"/>
      <c r="E92" s="80" t="s">
        <v>23</v>
      </c>
      <c r="F92" s="83">
        <v>1484</v>
      </c>
      <c r="G92" s="83">
        <v>90</v>
      </c>
      <c r="H92" s="108">
        <f t="shared" si="6"/>
        <v>133560</v>
      </c>
      <c r="I92" s="304">
        <v>82</v>
      </c>
      <c r="J92" s="83">
        <f t="shared" si="7"/>
        <v>121688</v>
      </c>
      <c r="K92" s="83">
        <f t="shared" si="8"/>
        <v>255248</v>
      </c>
      <c r="L92" s="124"/>
      <c r="M92" s="124"/>
      <c r="O92" s="84">
        <f t="shared" si="5"/>
        <v>255248</v>
      </c>
      <c r="S92" s="57"/>
      <c r="T92" s="57"/>
    </row>
    <row r="93" spans="2:20" ht="22.5" customHeight="1">
      <c r="B93" s="80">
        <v>9</v>
      </c>
      <c r="C93" s="89" t="s">
        <v>431</v>
      </c>
      <c r="D93" s="82"/>
      <c r="E93" s="80" t="s">
        <v>31</v>
      </c>
      <c r="F93" s="83">
        <v>1750</v>
      </c>
      <c r="G93" s="83">
        <v>60</v>
      </c>
      <c r="H93" s="83">
        <f t="shared" si="6"/>
        <v>105000</v>
      </c>
      <c r="I93" s="83">
        <v>50</v>
      </c>
      <c r="J93" s="83">
        <f t="shared" si="7"/>
        <v>87500</v>
      </c>
      <c r="K93" s="83">
        <f t="shared" si="8"/>
        <v>192500</v>
      </c>
      <c r="L93" s="124"/>
      <c r="M93" s="124"/>
      <c r="O93" s="84"/>
      <c r="S93" s="57"/>
      <c r="T93" s="57"/>
    </row>
    <row r="94" spans="2:20" ht="22.5" customHeight="1">
      <c r="B94" s="80">
        <v>10</v>
      </c>
      <c r="C94" s="81" t="s">
        <v>445</v>
      </c>
      <c r="D94" s="110"/>
      <c r="E94" s="80" t="s">
        <v>23</v>
      </c>
      <c r="F94" s="109">
        <v>8</v>
      </c>
      <c r="G94" s="83">
        <v>630</v>
      </c>
      <c r="H94" s="83">
        <f t="shared" si="6"/>
        <v>5040</v>
      </c>
      <c r="I94" s="83">
        <v>239</v>
      </c>
      <c r="J94" s="83">
        <f t="shared" si="7"/>
        <v>1912</v>
      </c>
      <c r="K94" s="83">
        <f t="shared" si="8"/>
        <v>6952</v>
      </c>
      <c r="L94" s="124"/>
      <c r="M94" s="124"/>
      <c r="O94" s="84"/>
      <c r="S94" s="57"/>
      <c r="T94" s="57"/>
    </row>
    <row r="95" spans="2:20" ht="22.5" customHeight="1">
      <c r="B95" s="75"/>
      <c r="C95" s="90"/>
      <c r="D95" s="82"/>
      <c r="E95" s="75"/>
      <c r="F95" s="83"/>
      <c r="G95" s="83"/>
      <c r="H95" s="91" t="s">
        <v>2</v>
      </c>
      <c r="I95" s="83" t="s">
        <v>2</v>
      </c>
      <c r="J95" s="91" t="s">
        <v>2</v>
      </c>
      <c r="K95" s="91" t="s">
        <v>2</v>
      </c>
      <c r="L95" s="126"/>
      <c r="M95" s="126"/>
      <c r="O95" s="84"/>
      <c r="S95" s="57"/>
      <c r="T95" s="57"/>
    </row>
    <row r="96" spans="2:20" ht="22.5" customHeight="1">
      <c r="B96" s="75"/>
      <c r="C96" s="500" t="s">
        <v>224</v>
      </c>
      <c r="D96" s="501"/>
      <c r="E96" s="93"/>
      <c r="F96" s="94"/>
      <c r="G96" s="94"/>
      <c r="H96" s="94">
        <f>SUM(H82:H95)</f>
        <v>1035870</v>
      </c>
      <c r="I96" s="94"/>
      <c r="J96" s="94">
        <f>SUM(J82:J95)</f>
        <v>467886</v>
      </c>
      <c r="K96" s="94">
        <f>SUM(K82:K95)</f>
        <v>1503756</v>
      </c>
      <c r="L96" s="127"/>
      <c r="M96" s="127"/>
      <c r="O96" s="84">
        <f>F96*(G96+I96)</f>
        <v>0</v>
      </c>
      <c r="S96" s="57"/>
      <c r="T96" s="57"/>
    </row>
    <row r="97" spans="2:20" ht="22.5" customHeight="1">
      <c r="B97" s="75"/>
      <c r="C97" s="92"/>
      <c r="D97" s="95"/>
      <c r="E97" s="93"/>
      <c r="F97" s="94"/>
      <c r="G97" s="94"/>
      <c r="H97" s="94"/>
      <c r="I97" s="94"/>
      <c r="J97" s="94"/>
      <c r="K97" s="94"/>
      <c r="L97" s="127"/>
      <c r="M97" s="127"/>
      <c r="O97" s="84"/>
      <c r="S97" s="57"/>
      <c r="T97" s="57"/>
    </row>
    <row r="98" spans="2:20" ht="22.5" customHeight="1">
      <c r="B98" s="130"/>
      <c r="C98" s="118" t="s">
        <v>225</v>
      </c>
      <c r="D98" s="74"/>
      <c r="E98" s="75"/>
      <c r="F98" s="83"/>
      <c r="G98" s="83"/>
      <c r="H98" s="91" t="s">
        <v>2</v>
      </c>
      <c r="I98" s="83"/>
      <c r="J98" s="91" t="s">
        <v>2</v>
      </c>
      <c r="K98" s="91" t="s">
        <v>2</v>
      </c>
      <c r="L98" s="126"/>
      <c r="M98" s="126"/>
      <c r="O98" s="84">
        <f aca="true" t="shared" si="9" ref="O98:O111">F98*(G98+I98)</f>
        <v>0</v>
      </c>
      <c r="S98" s="57"/>
      <c r="T98" s="57"/>
    </row>
    <row r="99" spans="2:20" ht="22.5" customHeight="1">
      <c r="B99" s="80">
        <v>1</v>
      </c>
      <c r="C99" s="81" t="s">
        <v>411</v>
      </c>
      <c r="D99" s="82"/>
      <c r="E99" s="80" t="s">
        <v>6</v>
      </c>
      <c r="F99" s="83">
        <v>1780</v>
      </c>
      <c r="G99" s="83">
        <v>220</v>
      </c>
      <c r="H99" s="83">
        <f aca="true" t="shared" si="10" ref="H99:H106">F99*G99</f>
        <v>391600</v>
      </c>
      <c r="I99" s="83">
        <v>89</v>
      </c>
      <c r="J99" s="83">
        <f aca="true" t="shared" si="11" ref="J99:J106">F99*I99</f>
        <v>158420</v>
      </c>
      <c r="K99" s="83">
        <f aca="true" t="shared" si="12" ref="K99:K106">H99+J99</f>
        <v>550020</v>
      </c>
      <c r="L99" s="124"/>
      <c r="M99" s="124"/>
      <c r="O99" s="84">
        <f t="shared" si="9"/>
        <v>550020</v>
      </c>
      <c r="S99" s="57"/>
      <c r="T99" s="57"/>
    </row>
    <row r="100" spans="2:20" ht="22.5" customHeight="1">
      <c r="B100" s="80">
        <v>2</v>
      </c>
      <c r="C100" s="81" t="s">
        <v>412</v>
      </c>
      <c r="D100" s="82"/>
      <c r="E100" s="80" t="s">
        <v>6</v>
      </c>
      <c r="F100" s="83">
        <v>302</v>
      </c>
      <c r="G100" s="83">
        <v>410</v>
      </c>
      <c r="H100" s="83">
        <f t="shared" si="10"/>
        <v>123820</v>
      </c>
      <c r="I100" s="83">
        <v>144</v>
      </c>
      <c r="J100" s="83">
        <f t="shared" si="11"/>
        <v>43488</v>
      </c>
      <c r="K100" s="83">
        <f t="shared" si="12"/>
        <v>167308</v>
      </c>
      <c r="L100" s="124"/>
      <c r="M100" s="124"/>
      <c r="O100" s="84">
        <f t="shared" si="9"/>
        <v>167308</v>
      </c>
      <c r="S100" s="57"/>
      <c r="T100" s="57"/>
    </row>
    <row r="101" spans="2:20" ht="22.5" customHeight="1">
      <c r="B101" s="80">
        <v>3</v>
      </c>
      <c r="C101" s="81" t="s">
        <v>458</v>
      </c>
      <c r="D101" s="82"/>
      <c r="E101" s="80" t="s">
        <v>6</v>
      </c>
      <c r="F101" s="83">
        <v>26</v>
      </c>
      <c r="G101" s="83">
        <v>325</v>
      </c>
      <c r="H101" s="83">
        <f t="shared" si="10"/>
        <v>8450</v>
      </c>
      <c r="I101" s="83">
        <v>80</v>
      </c>
      <c r="J101" s="83">
        <f t="shared" si="11"/>
        <v>2080</v>
      </c>
      <c r="K101" s="83">
        <f t="shared" si="12"/>
        <v>10530</v>
      </c>
      <c r="L101" s="124"/>
      <c r="M101" s="124"/>
      <c r="O101" s="84">
        <f t="shared" si="9"/>
        <v>10530</v>
      </c>
      <c r="S101" s="57"/>
      <c r="T101" s="57"/>
    </row>
    <row r="102" spans="2:20" ht="22.5" customHeight="1">
      <c r="B102" s="80"/>
      <c r="C102" s="81" t="s">
        <v>455</v>
      </c>
      <c r="D102" s="82"/>
      <c r="E102" s="80"/>
      <c r="F102" s="83"/>
      <c r="G102" s="83"/>
      <c r="H102" s="83"/>
      <c r="I102" s="83"/>
      <c r="J102" s="83"/>
      <c r="K102" s="83"/>
      <c r="L102" s="124"/>
      <c r="M102" s="124"/>
      <c r="O102" s="84"/>
      <c r="S102" s="57"/>
      <c r="T102" s="57"/>
    </row>
    <row r="103" spans="2:20" ht="22.5" customHeight="1">
      <c r="B103" s="80">
        <v>4</v>
      </c>
      <c r="C103" s="81" t="s">
        <v>456</v>
      </c>
      <c r="D103" s="82"/>
      <c r="E103" s="80" t="s">
        <v>6</v>
      </c>
      <c r="F103" s="83">
        <v>22</v>
      </c>
      <c r="G103" s="83">
        <v>550</v>
      </c>
      <c r="H103" s="83">
        <f t="shared" si="10"/>
        <v>12100</v>
      </c>
      <c r="I103" s="83">
        <v>80</v>
      </c>
      <c r="J103" s="83">
        <f t="shared" si="11"/>
        <v>1760</v>
      </c>
      <c r="K103" s="83">
        <f t="shared" si="12"/>
        <v>13860</v>
      </c>
      <c r="L103" s="124"/>
      <c r="M103" s="124"/>
      <c r="O103" s="84">
        <f t="shared" si="9"/>
        <v>13860</v>
      </c>
      <c r="S103" s="57"/>
      <c r="T103" s="57"/>
    </row>
    <row r="104" spans="2:20" ht="22.5" customHeight="1">
      <c r="B104" s="80"/>
      <c r="C104" s="81" t="s">
        <v>457</v>
      </c>
      <c r="D104" s="82"/>
      <c r="E104" s="80"/>
      <c r="F104" s="83"/>
      <c r="G104" s="83"/>
      <c r="H104" s="83"/>
      <c r="I104" s="83"/>
      <c r="J104" s="83"/>
      <c r="K104" s="83"/>
      <c r="L104" s="124"/>
      <c r="M104" s="124"/>
      <c r="O104" s="84"/>
      <c r="S104" s="57"/>
      <c r="T104" s="57"/>
    </row>
    <row r="105" spans="2:20" ht="22.5" customHeight="1">
      <c r="B105" s="80">
        <v>5</v>
      </c>
      <c r="C105" s="81" t="s">
        <v>32</v>
      </c>
      <c r="D105" s="82"/>
      <c r="E105" s="80" t="s">
        <v>6</v>
      </c>
      <c r="F105" s="83">
        <v>3690</v>
      </c>
      <c r="G105" s="83">
        <v>55</v>
      </c>
      <c r="H105" s="83">
        <f t="shared" si="10"/>
        <v>202950</v>
      </c>
      <c r="I105" s="83">
        <v>82</v>
      </c>
      <c r="J105" s="83">
        <f t="shared" si="11"/>
        <v>302580</v>
      </c>
      <c r="K105" s="83">
        <f t="shared" si="12"/>
        <v>505530</v>
      </c>
      <c r="L105" s="124"/>
      <c r="M105" s="124"/>
      <c r="O105" s="84">
        <f t="shared" si="9"/>
        <v>505530</v>
      </c>
      <c r="S105" s="57"/>
      <c r="T105" s="57"/>
    </row>
    <row r="106" spans="2:20" ht="22.5" customHeight="1">
      <c r="B106" s="80">
        <v>6</v>
      </c>
      <c r="C106" s="81" t="s">
        <v>447</v>
      </c>
      <c r="D106" s="82"/>
      <c r="E106" s="80" t="s">
        <v>6</v>
      </c>
      <c r="F106" s="83">
        <v>394</v>
      </c>
      <c r="G106" s="83">
        <v>285</v>
      </c>
      <c r="H106" s="83">
        <f t="shared" si="10"/>
        <v>112290</v>
      </c>
      <c r="I106" s="83">
        <v>166</v>
      </c>
      <c r="J106" s="83">
        <f t="shared" si="11"/>
        <v>65404</v>
      </c>
      <c r="K106" s="83">
        <f t="shared" si="12"/>
        <v>177694</v>
      </c>
      <c r="L106" s="124"/>
      <c r="M106" s="124"/>
      <c r="O106" s="84">
        <f t="shared" si="9"/>
        <v>177694</v>
      </c>
      <c r="S106" s="57"/>
      <c r="T106" s="57"/>
    </row>
    <row r="107" spans="2:20" ht="22.5" customHeight="1">
      <c r="B107" s="80">
        <v>7</v>
      </c>
      <c r="C107" s="81" t="s">
        <v>443</v>
      </c>
      <c r="D107" s="82"/>
      <c r="E107" s="104" t="s">
        <v>2</v>
      </c>
      <c r="F107" s="83"/>
      <c r="G107" s="83"/>
      <c r="H107" s="91" t="s">
        <v>2</v>
      </c>
      <c r="I107" s="83"/>
      <c r="J107" s="91" t="s">
        <v>2</v>
      </c>
      <c r="K107" s="91" t="s">
        <v>2</v>
      </c>
      <c r="L107" s="126"/>
      <c r="M107" s="126"/>
      <c r="O107" s="84">
        <f t="shared" si="9"/>
        <v>0</v>
      </c>
      <c r="S107" s="57"/>
      <c r="T107" s="57"/>
    </row>
    <row r="108" spans="2:20" ht="22.5" customHeight="1">
      <c r="B108" s="427"/>
      <c r="C108" s="81" t="s">
        <v>444</v>
      </c>
      <c r="D108" s="82"/>
      <c r="E108" s="80" t="s">
        <v>6</v>
      </c>
      <c r="F108" s="83">
        <v>68</v>
      </c>
      <c r="G108" s="83">
        <v>1020</v>
      </c>
      <c r="H108" s="83">
        <f>F108*G108</f>
        <v>69360</v>
      </c>
      <c r="I108" s="83">
        <v>154</v>
      </c>
      <c r="J108" s="83">
        <f>F108*I108</f>
        <v>10472</v>
      </c>
      <c r="K108" s="83">
        <f>H108+J108</f>
        <v>79832</v>
      </c>
      <c r="L108" s="126"/>
      <c r="M108" s="126"/>
      <c r="O108" s="84"/>
      <c r="S108" s="57"/>
      <c r="T108" s="57"/>
    </row>
    <row r="109" spans="2:20" ht="22.5" customHeight="1">
      <c r="B109" s="80">
        <v>8</v>
      </c>
      <c r="C109" s="81" t="s">
        <v>33</v>
      </c>
      <c r="D109" s="82"/>
      <c r="E109" s="80" t="s">
        <v>6</v>
      </c>
      <c r="F109" s="83">
        <v>1530</v>
      </c>
      <c r="G109" s="83">
        <v>70</v>
      </c>
      <c r="H109" s="83">
        <f>F109*G109</f>
        <v>107100</v>
      </c>
      <c r="I109" s="83">
        <v>100</v>
      </c>
      <c r="J109" s="83">
        <f>F109*I109</f>
        <v>153000</v>
      </c>
      <c r="K109" s="83">
        <f>H109+J109</f>
        <v>260100</v>
      </c>
      <c r="L109" s="124"/>
      <c r="M109" s="124"/>
      <c r="O109" s="84">
        <f t="shared" si="9"/>
        <v>260100</v>
      </c>
      <c r="S109" s="57"/>
      <c r="T109" s="57"/>
    </row>
    <row r="110" spans="2:20" ht="22.5" customHeight="1">
      <c r="B110" s="80">
        <v>9</v>
      </c>
      <c r="C110" s="81" t="s">
        <v>34</v>
      </c>
      <c r="D110" s="82"/>
      <c r="E110" s="80" t="s">
        <v>6</v>
      </c>
      <c r="F110" s="83">
        <v>151</v>
      </c>
      <c r="G110" s="83">
        <v>80</v>
      </c>
      <c r="H110" s="83">
        <f>F110*G110</f>
        <v>12080</v>
      </c>
      <c r="I110" s="83">
        <v>87</v>
      </c>
      <c r="J110" s="83">
        <f>F110*I110</f>
        <v>13137</v>
      </c>
      <c r="K110" s="83">
        <f>H110+J110</f>
        <v>25217</v>
      </c>
      <c r="L110" s="124"/>
      <c r="M110" s="124"/>
      <c r="O110" s="84">
        <f t="shared" si="9"/>
        <v>25217</v>
      </c>
      <c r="S110" s="57"/>
      <c r="T110" s="57"/>
    </row>
    <row r="111" spans="2:22" ht="22.5" customHeight="1">
      <c r="B111" s="80">
        <v>10</v>
      </c>
      <c r="C111" s="81" t="s">
        <v>189</v>
      </c>
      <c r="D111" s="82"/>
      <c r="E111" s="80"/>
      <c r="F111" s="83"/>
      <c r="G111" s="83"/>
      <c r="H111" s="83"/>
      <c r="I111" s="83"/>
      <c r="J111" s="83"/>
      <c r="K111" s="83"/>
      <c r="L111" s="124"/>
      <c r="M111" s="124"/>
      <c r="O111" s="84">
        <f t="shared" si="9"/>
        <v>0</v>
      </c>
      <c r="S111" s="57"/>
      <c r="T111" s="57"/>
      <c r="U111" s="57"/>
      <c r="V111" s="57"/>
    </row>
    <row r="112" spans="2:22" ht="22.5" customHeight="1">
      <c r="B112" s="80"/>
      <c r="C112" s="81" t="s">
        <v>226</v>
      </c>
      <c r="D112" s="82"/>
      <c r="E112" s="80" t="s">
        <v>157</v>
      </c>
      <c r="F112" s="83">
        <v>1860</v>
      </c>
      <c r="G112" s="83">
        <v>55</v>
      </c>
      <c r="H112" s="83">
        <f>F112*G112</f>
        <v>102300</v>
      </c>
      <c r="I112" s="83">
        <v>44</v>
      </c>
      <c r="J112" s="83">
        <f>F112*I112</f>
        <v>81840</v>
      </c>
      <c r="K112" s="83">
        <f>H112+J112</f>
        <v>184140</v>
      </c>
      <c r="L112" s="124"/>
      <c r="M112" s="124"/>
      <c r="O112" s="84"/>
      <c r="S112" s="57"/>
      <c r="T112" s="57"/>
      <c r="U112" s="57"/>
      <c r="V112" s="57"/>
    </row>
    <row r="113" spans="2:22" ht="22.5" customHeight="1">
      <c r="B113" s="80"/>
      <c r="C113" s="81" t="s">
        <v>227</v>
      </c>
      <c r="D113" s="82"/>
      <c r="E113" s="80" t="s">
        <v>157</v>
      </c>
      <c r="F113" s="83">
        <f>F100*0.8</f>
        <v>241.60000000000002</v>
      </c>
      <c r="G113" s="83">
        <v>75</v>
      </c>
      <c r="H113" s="83">
        <f>F113*G113</f>
        <v>18120</v>
      </c>
      <c r="I113" s="83">
        <v>62</v>
      </c>
      <c r="J113" s="83">
        <f>F113*I113</f>
        <v>14979.2</v>
      </c>
      <c r="K113" s="83">
        <f>H113+J113</f>
        <v>33099.2</v>
      </c>
      <c r="L113" s="124"/>
      <c r="M113" s="124"/>
      <c r="O113" s="84"/>
      <c r="S113" s="57"/>
      <c r="T113" s="57"/>
      <c r="U113" s="57"/>
      <c r="V113" s="57"/>
    </row>
    <row r="114" spans="2:22" ht="22.5" customHeight="1">
      <c r="B114" s="75"/>
      <c r="C114" s="90"/>
      <c r="D114" s="82"/>
      <c r="E114" s="75"/>
      <c r="F114" s="83"/>
      <c r="G114" s="83"/>
      <c r="H114" s="91" t="s">
        <v>2</v>
      </c>
      <c r="I114" s="83"/>
      <c r="J114" s="91" t="s">
        <v>2</v>
      </c>
      <c r="K114" s="91" t="s">
        <v>2</v>
      </c>
      <c r="L114" s="126"/>
      <c r="M114" s="126"/>
      <c r="O114" s="84">
        <f>F114*(G114+I114)</f>
        <v>0</v>
      </c>
      <c r="S114" s="57"/>
      <c r="T114" s="57"/>
      <c r="U114" s="57"/>
      <c r="V114" s="57"/>
    </row>
    <row r="115" spans="2:22" ht="22.5" customHeight="1">
      <c r="B115" s="75"/>
      <c r="C115" s="500" t="s">
        <v>228</v>
      </c>
      <c r="D115" s="501"/>
      <c r="E115" s="93"/>
      <c r="F115" s="94"/>
      <c r="G115" s="94"/>
      <c r="H115" s="94">
        <f>SUM(H98:H114)</f>
        <v>1160170</v>
      </c>
      <c r="I115" s="94"/>
      <c r="J115" s="94">
        <f>SUM(J98:J114)</f>
        <v>847160.2</v>
      </c>
      <c r="K115" s="94">
        <f>SUM(K98:K114)</f>
        <v>2007330.2</v>
      </c>
      <c r="L115" s="127"/>
      <c r="M115" s="127"/>
      <c r="O115" s="84">
        <f>F115*(G115+I115)</f>
        <v>0</v>
      </c>
      <c r="S115" s="57"/>
      <c r="T115" s="57"/>
      <c r="U115" s="57"/>
      <c r="V115" s="57"/>
    </row>
    <row r="116" spans="2:20" ht="22.5" customHeight="1">
      <c r="B116" s="130"/>
      <c r="C116" s="118" t="s">
        <v>229</v>
      </c>
      <c r="D116" s="74"/>
      <c r="E116" s="75"/>
      <c r="F116" s="83"/>
      <c r="G116" s="83"/>
      <c r="H116" s="91" t="s">
        <v>2</v>
      </c>
      <c r="I116" s="83"/>
      <c r="J116" s="91" t="s">
        <v>2</v>
      </c>
      <c r="K116" s="91" t="s">
        <v>2</v>
      </c>
      <c r="L116" s="126"/>
      <c r="M116" s="126"/>
      <c r="O116" s="84">
        <f aca="true" t="shared" si="13" ref="O116:O121">F116*(G116+I116)</f>
        <v>0</v>
      </c>
      <c r="S116" s="57"/>
      <c r="T116" s="57"/>
    </row>
    <row r="117" spans="2:20" ht="22.5" customHeight="1">
      <c r="B117" s="80">
        <v>1</v>
      </c>
      <c r="C117" s="81" t="s">
        <v>398</v>
      </c>
      <c r="D117" s="82"/>
      <c r="E117" s="80" t="s">
        <v>157</v>
      </c>
      <c r="F117" s="83">
        <v>1938</v>
      </c>
      <c r="G117" s="83">
        <v>280</v>
      </c>
      <c r="H117" s="83">
        <f>F117*G117</f>
        <v>542640</v>
      </c>
      <c r="I117" s="83">
        <v>35</v>
      </c>
      <c r="J117" s="83">
        <f>F117*I117</f>
        <v>67830</v>
      </c>
      <c r="K117" s="83">
        <f>H117+J117</f>
        <v>610470</v>
      </c>
      <c r="L117" s="124"/>
      <c r="M117" s="124"/>
      <c r="O117" s="84">
        <f t="shared" si="13"/>
        <v>610470</v>
      </c>
      <c r="S117" s="57"/>
      <c r="T117" s="57"/>
    </row>
    <row r="118" spans="2:20" ht="22.5" customHeight="1">
      <c r="B118" s="80">
        <v>2</v>
      </c>
      <c r="C118" s="81" t="s">
        <v>399</v>
      </c>
      <c r="D118" s="82"/>
      <c r="E118" s="80" t="s">
        <v>230</v>
      </c>
      <c r="F118" s="83">
        <v>2805</v>
      </c>
      <c r="G118" s="83">
        <v>18</v>
      </c>
      <c r="H118" s="83">
        <f>F118*G118</f>
        <v>50490</v>
      </c>
      <c r="I118" s="83">
        <v>11</v>
      </c>
      <c r="J118" s="83">
        <f>F118*I118</f>
        <v>30855</v>
      </c>
      <c r="K118" s="83">
        <f>H118+J118</f>
        <v>81345</v>
      </c>
      <c r="L118" s="124"/>
      <c r="M118" s="124"/>
      <c r="O118" s="84">
        <f t="shared" si="13"/>
        <v>81345</v>
      </c>
      <c r="S118" s="57"/>
      <c r="T118" s="57"/>
    </row>
    <row r="119" spans="2:20" ht="22.5" customHeight="1">
      <c r="B119" s="80">
        <v>3</v>
      </c>
      <c r="C119" s="81" t="s">
        <v>400</v>
      </c>
      <c r="D119" s="82"/>
      <c r="E119" s="80" t="s">
        <v>230</v>
      </c>
      <c r="F119" s="83">
        <v>144</v>
      </c>
      <c r="G119" s="83">
        <v>23</v>
      </c>
      <c r="H119" s="83">
        <f>F119*G119</f>
        <v>3312</v>
      </c>
      <c r="I119" s="83">
        <v>11</v>
      </c>
      <c r="J119" s="83">
        <f>F119*I119</f>
        <v>1584</v>
      </c>
      <c r="K119" s="83">
        <f>H119+J119</f>
        <v>4896</v>
      </c>
      <c r="L119" s="124"/>
      <c r="M119" s="124"/>
      <c r="O119" s="84">
        <f t="shared" si="13"/>
        <v>4896</v>
      </c>
      <c r="S119" s="57"/>
      <c r="T119" s="57"/>
    </row>
    <row r="120" spans="2:20" ht="22.5" customHeight="1">
      <c r="B120" s="80">
        <v>4</v>
      </c>
      <c r="C120" s="81" t="s">
        <v>50</v>
      </c>
      <c r="D120" s="82"/>
      <c r="E120" s="80" t="s">
        <v>6</v>
      </c>
      <c r="F120" s="83">
        <v>317</v>
      </c>
      <c r="G120" s="83">
        <v>180</v>
      </c>
      <c r="H120" s="83">
        <f>F120*G120</f>
        <v>57060</v>
      </c>
      <c r="I120" s="83">
        <v>0</v>
      </c>
      <c r="J120" s="83">
        <f>F120*I120</f>
        <v>0</v>
      </c>
      <c r="K120" s="83">
        <f>H120+J120</f>
        <v>57060</v>
      </c>
      <c r="L120" s="124"/>
      <c r="M120" s="124"/>
      <c r="O120" s="84">
        <f t="shared" si="13"/>
        <v>57060</v>
      </c>
      <c r="S120" s="57"/>
      <c r="T120" s="57"/>
    </row>
    <row r="121" spans="2:20" ht="22.5" customHeight="1">
      <c r="B121" s="75"/>
      <c r="C121" s="500" t="s">
        <v>231</v>
      </c>
      <c r="D121" s="501"/>
      <c r="E121" s="93"/>
      <c r="F121" s="94"/>
      <c r="G121" s="94"/>
      <c r="H121" s="94">
        <f>SUM(H116:H120)</f>
        <v>653502</v>
      </c>
      <c r="I121" s="94"/>
      <c r="J121" s="94">
        <f>SUM(J116:J120)</f>
        <v>100269</v>
      </c>
      <c r="K121" s="94">
        <f>SUM(K116:K120)</f>
        <v>753771</v>
      </c>
      <c r="L121" s="127"/>
      <c r="M121" s="127"/>
      <c r="O121" s="84">
        <f t="shared" si="13"/>
        <v>0</v>
      </c>
      <c r="S121" s="57"/>
      <c r="T121" s="57"/>
    </row>
    <row r="122" spans="2:20" ht="22.5" customHeight="1">
      <c r="B122" s="130"/>
      <c r="C122" s="118" t="s">
        <v>232</v>
      </c>
      <c r="D122" s="74"/>
      <c r="E122" s="75"/>
      <c r="F122" s="83"/>
      <c r="G122" s="83"/>
      <c r="H122" s="91" t="s">
        <v>2</v>
      </c>
      <c r="I122" s="83"/>
      <c r="J122" s="91" t="s">
        <v>2</v>
      </c>
      <c r="K122" s="91" t="s">
        <v>2</v>
      </c>
      <c r="L122" s="126"/>
      <c r="M122" s="126"/>
      <c r="O122" s="84">
        <f aca="true" t="shared" si="14" ref="O122:O127">F122*(G122+I122)</f>
        <v>0</v>
      </c>
      <c r="S122" s="57"/>
      <c r="T122" s="57"/>
    </row>
    <row r="123" spans="2:20" ht="22.5" customHeight="1">
      <c r="B123" s="80">
        <v>1</v>
      </c>
      <c r="C123" s="89" t="s">
        <v>432</v>
      </c>
      <c r="D123" s="82"/>
      <c r="E123" s="80" t="s">
        <v>44</v>
      </c>
      <c r="F123" s="83">
        <v>20</v>
      </c>
      <c r="G123" s="304">
        <v>1970</v>
      </c>
      <c r="H123" s="83">
        <f aca="true" t="shared" si="15" ref="H123:H141">F123*G123</f>
        <v>39400</v>
      </c>
      <c r="I123" s="304">
        <v>289</v>
      </c>
      <c r="J123" s="83">
        <f aca="true" t="shared" si="16" ref="J123:J136">F123*I123</f>
        <v>5780</v>
      </c>
      <c r="K123" s="83">
        <f aca="true" t="shared" si="17" ref="K123:K141">H123+J123</f>
        <v>45180</v>
      </c>
      <c r="L123" s="124"/>
      <c r="M123" s="124">
        <f>1*1075+3*160+1*320+1*90+1*5</f>
        <v>1970</v>
      </c>
      <c r="N123" s="57">
        <f>0.9*2*85+1*80</f>
        <v>233</v>
      </c>
      <c r="O123" s="84">
        <f t="shared" si="14"/>
        <v>45180</v>
      </c>
      <c r="S123" s="57"/>
      <c r="T123" s="57"/>
    </row>
    <row r="124" spans="2:20" ht="22.5" customHeight="1">
      <c r="B124" s="80">
        <v>2</v>
      </c>
      <c r="C124" s="89" t="s">
        <v>433</v>
      </c>
      <c r="D124" s="82"/>
      <c r="E124" s="80" t="s">
        <v>44</v>
      </c>
      <c r="F124" s="83">
        <v>45</v>
      </c>
      <c r="G124" s="304">
        <v>1790</v>
      </c>
      <c r="H124" s="83">
        <f t="shared" si="15"/>
        <v>80550</v>
      </c>
      <c r="I124" s="304">
        <v>268</v>
      </c>
      <c r="J124" s="83">
        <f t="shared" si="16"/>
        <v>12060</v>
      </c>
      <c r="K124" s="83">
        <f t="shared" si="17"/>
        <v>92610</v>
      </c>
      <c r="L124" s="124"/>
      <c r="M124" s="124">
        <f>1*985+3*160+1*320+1*5</f>
        <v>1790</v>
      </c>
      <c r="N124" s="57">
        <f>0.8*2*85+1*80</f>
        <v>216</v>
      </c>
      <c r="O124" s="84">
        <f t="shared" si="14"/>
        <v>92610</v>
      </c>
      <c r="S124" s="57"/>
      <c r="T124" s="57"/>
    </row>
    <row r="125" spans="2:20" ht="22.5" customHeight="1">
      <c r="B125" s="80">
        <v>3</v>
      </c>
      <c r="C125" s="89" t="s">
        <v>434</v>
      </c>
      <c r="D125" s="82"/>
      <c r="E125" s="80" t="s">
        <v>44</v>
      </c>
      <c r="F125" s="83">
        <v>2</v>
      </c>
      <c r="G125" s="304">
        <v>2290</v>
      </c>
      <c r="H125" s="83">
        <f t="shared" si="15"/>
        <v>4580</v>
      </c>
      <c r="I125" s="304">
        <v>268</v>
      </c>
      <c r="J125" s="83">
        <f t="shared" si="16"/>
        <v>536</v>
      </c>
      <c r="K125" s="83">
        <f t="shared" si="17"/>
        <v>5116</v>
      </c>
      <c r="L125" s="124"/>
      <c r="M125" s="124">
        <f>1*1250+3*160+1*320+1*90+1*147</f>
        <v>2287</v>
      </c>
      <c r="N125" s="57">
        <f>0.8*2*85+1*80+1*35</f>
        <v>251</v>
      </c>
      <c r="O125" s="84">
        <f t="shared" si="14"/>
        <v>5116</v>
      </c>
      <c r="S125" s="57"/>
      <c r="T125" s="57"/>
    </row>
    <row r="126" spans="2:20" ht="22.5" customHeight="1">
      <c r="B126" s="80">
        <v>4</v>
      </c>
      <c r="C126" s="89" t="s">
        <v>435</v>
      </c>
      <c r="D126" s="82"/>
      <c r="E126" s="80" t="s">
        <v>44</v>
      </c>
      <c r="F126" s="83">
        <v>40</v>
      </c>
      <c r="G126" s="304">
        <v>1820</v>
      </c>
      <c r="H126" s="83">
        <f t="shared" si="15"/>
        <v>72800</v>
      </c>
      <c r="I126" s="304">
        <v>247</v>
      </c>
      <c r="J126" s="83">
        <f t="shared" si="16"/>
        <v>9880</v>
      </c>
      <c r="K126" s="83">
        <f t="shared" si="17"/>
        <v>82680</v>
      </c>
      <c r="L126" s="124"/>
      <c r="M126" s="124">
        <f>1*1145+3*115+1*320+1*5</f>
        <v>1815</v>
      </c>
      <c r="N126" s="57">
        <f>0.7*2*85+1*80</f>
        <v>199</v>
      </c>
      <c r="O126" s="84">
        <f t="shared" si="14"/>
        <v>82680</v>
      </c>
      <c r="S126" s="57"/>
      <c r="T126" s="57"/>
    </row>
    <row r="127" spans="2:20" ht="22.5" customHeight="1">
      <c r="B127" s="80">
        <v>5</v>
      </c>
      <c r="C127" s="89" t="s">
        <v>45</v>
      </c>
      <c r="D127" s="82"/>
      <c r="E127" s="80" t="s">
        <v>44</v>
      </c>
      <c r="F127" s="83">
        <v>6</v>
      </c>
      <c r="G127" s="304">
        <v>11500</v>
      </c>
      <c r="H127" s="304">
        <f t="shared" si="15"/>
        <v>69000</v>
      </c>
      <c r="I127" s="304">
        <v>1000</v>
      </c>
      <c r="J127" s="83">
        <f t="shared" si="16"/>
        <v>6000</v>
      </c>
      <c r="K127" s="83">
        <f t="shared" si="17"/>
        <v>75000</v>
      </c>
      <c r="L127" s="124"/>
      <c r="M127" s="124">
        <v>11030</v>
      </c>
      <c r="O127" s="84">
        <f t="shared" si="14"/>
        <v>75000</v>
      </c>
      <c r="S127" s="57"/>
      <c r="T127" s="57"/>
    </row>
    <row r="128" spans="2:20" ht="22.5" customHeight="1">
      <c r="B128" s="80">
        <v>6</v>
      </c>
      <c r="C128" s="89" t="s">
        <v>46</v>
      </c>
      <c r="D128" s="82"/>
      <c r="E128" s="80" t="s">
        <v>44</v>
      </c>
      <c r="F128" s="83">
        <v>1</v>
      </c>
      <c r="G128" s="304">
        <v>7580</v>
      </c>
      <c r="H128" s="304">
        <f t="shared" si="15"/>
        <v>7580</v>
      </c>
      <c r="I128" s="304">
        <v>1000</v>
      </c>
      <c r="J128" s="83">
        <f t="shared" si="16"/>
        <v>1000</v>
      </c>
      <c r="K128" s="83">
        <f t="shared" si="17"/>
        <v>8580</v>
      </c>
      <c r="L128" s="124"/>
      <c r="M128" s="124">
        <f>1*7580</f>
        <v>7580</v>
      </c>
      <c r="O128" s="84">
        <f aca="true" t="shared" si="18" ref="O128:O217">F128*(G128+I128)</f>
        <v>8580</v>
      </c>
      <c r="S128" s="57"/>
      <c r="T128" s="57"/>
    </row>
    <row r="129" spans="2:20" ht="22.5" customHeight="1">
      <c r="B129" s="80">
        <v>7</v>
      </c>
      <c r="C129" s="89" t="s">
        <v>436</v>
      </c>
      <c r="D129" s="82"/>
      <c r="E129" s="80" t="s">
        <v>44</v>
      </c>
      <c r="F129" s="83">
        <v>1</v>
      </c>
      <c r="G129" s="304">
        <v>1410</v>
      </c>
      <c r="H129" s="304">
        <f t="shared" si="15"/>
        <v>1410</v>
      </c>
      <c r="I129" s="304">
        <v>205</v>
      </c>
      <c r="J129" s="83">
        <f t="shared" si="16"/>
        <v>205</v>
      </c>
      <c r="K129" s="83">
        <f t="shared" si="17"/>
        <v>1615</v>
      </c>
      <c r="L129" s="124"/>
      <c r="M129" s="124">
        <f>1*715+2*115+1*320+1*147</f>
        <v>1412</v>
      </c>
      <c r="N129" s="57">
        <f>0.8*1.45*85+1*80+1*35</f>
        <v>213.6</v>
      </c>
      <c r="O129" s="84">
        <f t="shared" si="18"/>
        <v>1615</v>
      </c>
      <c r="S129" s="57"/>
      <c r="T129" s="57"/>
    </row>
    <row r="130" spans="2:20" ht="22.5" customHeight="1">
      <c r="B130" s="80">
        <v>8</v>
      </c>
      <c r="C130" s="89" t="s">
        <v>437</v>
      </c>
      <c r="D130" s="82"/>
      <c r="E130" s="80" t="s">
        <v>44</v>
      </c>
      <c r="F130" s="83">
        <v>40</v>
      </c>
      <c r="G130" s="304">
        <v>2200</v>
      </c>
      <c r="H130" s="304">
        <f t="shared" si="15"/>
        <v>88000</v>
      </c>
      <c r="I130" s="304">
        <v>268</v>
      </c>
      <c r="J130" s="83">
        <f t="shared" si="16"/>
        <v>10720</v>
      </c>
      <c r="K130" s="83">
        <f t="shared" si="17"/>
        <v>98720</v>
      </c>
      <c r="L130" s="124"/>
      <c r="M130" s="124">
        <f>1*1250+3*160+1*320+1*147</f>
        <v>2197</v>
      </c>
      <c r="N130" s="57">
        <f>0.8*2*85+1*80+1*35</f>
        <v>251</v>
      </c>
      <c r="O130" s="84">
        <f t="shared" si="18"/>
        <v>98720</v>
      </c>
      <c r="S130" s="57"/>
      <c r="T130" s="57"/>
    </row>
    <row r="131" spans="2:20" ht="22.5" customHeight="1">
      <c r="B131" s="80">
        <v>9</v>
      </c>
      <c r="C131" s="89" t="s">
        <v>438</v>
      </c>
      <c r="D131" s="82"/>
      <c r="E131" s="80" t="s">
        <v>44</v>
      </c>
      <c r="F131" s="83">
        <v>20</v>
      </c>
      <c r="G131" s="304">
        <v>2370</v>
      </c>
      <c r="H131" s="304">
        <f t="shared" si="15"/>
        <v>47400</v>
      </c>
      <c r="I131" s="304">
        <v>140</v>
      </c>
      <c r="J131" s="83">
        <f t="shared" si="16"/>
        <v>2800</v>
      </c>
      <c r="K131" s="83">
        <f t="shared" si="17"/>
        <v>50200</v>
      </c>
      <c r="L131" s="124"/>
      <c r="M131" s="124">
        <f>2*625+3*2*115+2*35+4*90</f>
        <v>2370</v>
      </c>
      <c r="N131" s="57">
        <f>0.4*2*2*85</f>
        <v>136</v>
      </c>
      <c r="O131" s="84">
        <f t="shared" si="18"/>
        <v>50200</v>
      </c>
      <c r="S131" s="57"/>
      <c r="T131" s="57"/>
    </row>
    <row r="132" spans="2:20" ht="22.5" customHeight="1">
      <c r="B132" s="80">
        <v>10</v>
      </c>
      <c r="C132" s="89" t="s">
        <v>47</v>
      </c>
      <c r="D132" s="82"/>
      <c r="E132" s="80" t="s">
        <v>44</v>
      </c>
      <c r="F132" s="83">
        <v>20</v>
      </c>
      <c r="G132" s="304">
        <v>1520</v>
      </c>
      <c r="H132" s="304">
        <f t="shared" si="15"/>
        <v>30400</v>
      </c>
      <c r="I132" s="304">
        <v>70</v>
      </c>
      <c r="J132" s="83">
        <f t="shared" si="16"/>
        <v>1400</v>
      </c>
      <c r="K132" s="83">
        <f t="shared" si="17"/>
        <v>31800</v>
      </c>
      <c r="L132" s="124"/>
      <c r="M132" s="124">
        <f>2*315+2*2*115+2*35+4*90</f>
        <v>1520</v>
      </c>
      <c r="N132" s="57">
        <f>0.4*1*2*85</f>
        <v>68</v>
      </c>
      <c r="O132" s="84">
        <f t="shared" si="18"/>
        <v>31800</v>
      </c>
      <c r="S132" s="57"/>
      <c r="T132" s="57"/>
    </row>
    <row r="133" spans="2:20" ht="22.5" customHeight="1">
      <c r="B133" s="80">
        <v>11</v>
      </c>
      <c r="C133" s="89" t="s">
        <v>48</v>
      </c>
      <c r="D133" s="82"/>
      <c r="E133" s="80" t="s">
        <v>44</v>
      </c>
      <c r="F133" s="83">
        <v>5</v>
      </c>
      <c r="G133" s="304">
        <v>1200</v>
      </c>
      <c r="H133" s="304">
        <f t="shared" si="15"/>
        <v>6000</v>
      </c>
      <c r="I133" s="304">
        <v>500</v>
      </c>
      <c r="J133" s="83">
        <f t="shared" si="16"/>
        <v>2500</v>
      </c>
      <c r="K133" s="83">
        <f t="shared" si="17"/>
        <v>8500</v>
      </c>
      <c r="L133" s="124"/>
      <c r="M133" s="124">
        <f>980+200</f>
        <v>1180</v>
      </c>
      <c r="O133" s="84">
        <f t="shared" si="18"/>
        <v>8500</v>
      </c>
      <c r="S133" s="57"/>
      <c r="T133" s="57"/>
    </row>
    <row r="134" spans="2:20" ht="22.5" customHeight="1">
      <c r="B134" s="80">
        <v>12</v>
      </c>
      <c r="C134" s="81" t="s">
        <v>439</v>
      </c>
      <c r="D134" s="82"/>
      <c r="E134" s="80" t="s">
        <v>44</v>
      </c>
      <c r="F134" s="83">
        <v>40</v>
      </c>
      <c r="G134" s="304">
        <v>4484</v>
      </c>
      <c r="H134" s="304">
        <f t="shared" si="15"/>
        <v>179360</v>
      </c>
      <c r="I134" s="304">
        <v>475</v>
      </c>
      <c r="J134" s="83">
        <f t="shared" si="16"/>
        <v>19000</v>
      </c>
      <c r="K134" s="83">
        <f t="shared" si="17"/>
        <v>198360</v>
      </c>
      <c r="L134" s="124"/>
      <c r="M134" s="124"/>
      <c r="O134" s="84">
        <f t="shared" si="18"/>
        <v>198360</v>
      </c>
      <c r="S134" s="57"/>
      <c r="T134" s="57"/>
    </row>
    <row r="135" spans="2:20" ht="22.5" customHeight="1">
      <c r="B135" s="80">
        <v>13</v>
      </c>
      <c r="C135" s="81" t="s">
        <v>440</v>
      </c>
      <c r="D135" s="82"/>
      <c r="E135" s="80" t="s">
        <v>44</v>
      </c>
      <c r="F135" s="83">
        <v>20</v>
      </c>
      <c r="G135" s="304">
        <v>4420</v>
      </c>
      <c r="H135" s="304">
        <f t="shared" si="15"/>
        <v>88400</v>
      </c>
      <c r="I135" s="304">
        <v>520</v>
      </c>
      <c r="J135" s="83">
        <f t="shared" si="16"/>
        <v>10400</v>
      </c>
      <c r="K135" s="83">
        <f t="shared" si="17"/>
        <v>98800</v>
      </c>
      <c r="L135" s="124"/>
      <c r="M135" s="124"/>
      <c r="O135" s="84">
        <f t="shared" si="18"/>
        <v>98800</v>
      </c>
      <c r="S135" s="57"/>
      <c r="T135" s="57"/>
    </row>
    <row r="136" spans="2:20" ht="22.5" customHeight="1">
      <c r="B136" s="80">
        <v>14</v>
      </c>
      <c r="C136" s="81" t="s">
        <v>441</v>
      </c>
      <c r="D136" s="82"/>
      <c r="E136" s="80" t="s">
        <v>44</v>
      </c>
      <c r="F136" s="83">
        <v>40</v>
      </c>
      <c r="G136" s="304">
        <v>2310</v>
      </c>
      <c r="H136" s="304">
        <f t="shared" si="15"/>
        <v>92400</v>
      </c>
      <c r="I136" s="304">
        <v>250</v>
      </c>
      <c r="J136" s="83">
        <f t="shared" si="16"/>
        <v>10000</v>
      </c>
      <c r="K136" s="83">
        <f t="shared" si="17"/>
        <v>102400</v>
      </c>
      <c r="L136" s="124"/>
      <c r="M136" s="124"/>
      <c r="O136" s="84">
        <f t="shared" si="18"/>
        <v>102400</v>
      </c>
      <c r="S136" s="57"/>
      <c r="T136" s="57"/>
    </row>
    <row r="137" spans="2:20" ht="22.5" customHeight="1">
      <c r="B137" s="80">
        <v>15</v>
      </c>
      <c r="C137" s="81" t="s">
        <v>453</v>
      </c>
      <c r="D137" s="82"/>
      <c r="E137" s="80" t="s">
        <v>44</v>
      </c>
      <c r="F137" s="83">
        <v>20</v>
      </c>
      <c r="G137" s="304">
        <v>1250</v>
      </c>
      <c r="H137" s="304">
        <f>F137*G137</f>
        <v>25000</v>
      </c>
      <c r="I137" s="304">
        <v>220</v>
      </c>
      <c r="J137" s="83">
        <f>F137*I137</f>
        <v>4400</v>
      </c>
      <c r="K137" s="83">
        <f>H137+J137</f>
        <v>29400</v>
      </c>
      <c r="L137" s="124"/>
      <c r="M137" s="124">
        <f>20*12+1*130</f>
        <v>370</v>
      </c>
      <c r="N137" s="57">
        <f>12*5</f>
        <v>60</v>
      </c>
      <c r="O137" s="84">
        <f>F137*(G137+I137)</f>
        <v>29400</v>
      </c>
      <c r="S137" s="57"/>
      <c r="T137" s="57"/>
    </row>
    <row r="138" spans="2:20" ht="22.5" customHeight="1">
      <c r="B138" s="80">
        <v>16</v>
      </c>
      <c r="C138" s="81" t="s">
        <v>454</v>
      </c>
      <c r="D138" s="82"/>
      <c r="E138" s="80" t="s">
        <v>44</v>
      </c>
      <c r="F138" s="83">
        <v>20</v>
      </c>
      <c r="G138" s="304">
        <v>1150</v>
      </c>
      <c r="H138" s="304">
        <f>F138*G138</f>
        <v>23000</v>
      </c>
      <c r="I138" s="304">
        <v>210</v>
      </c>
      <c r="J138" s="83">
        <f>F138*I138</f>
        <v>4200</v>
      </c>
      <c r="K138" s="83">
        <f>H138+J138</f>
        <v>27200</v>
      </c>
      <c r="L138" s="124"/>
      <c r="M138" s="124">
        <f>20*12+1*130</f>
        <v>370</v>
      </c>
      <c r="N138" s="57">
        <f>12*5</f>
        <v>60</v>
      </c>
      <c r="O138" s="84">
        <f>F138*(G138+I138)</f>
        <v>27200</v>
      </c>
      <c r="S138" s="57"/>
      <c r="T138" s="57"/>
    </row>
    <row r="139" spans="2:20" ht="22.5" customHeight="1">
      <c r="B139" s="80">
        <v>17</v>
      </c>
      <c r="C139" s="89" t="s">
        <v>49</v>
      </c>
      <c r="D139" s="82"/>
      <c r="E139" s="80"/>
      <c r="F139" s="83"/>
      <c r="G139" s="304"/>
      <c r="H139" s="304"/>
      <c r="I139" s="304"/>
      <c r="J139" s="83"/>
      <c r="K139" s="83"/>
      <c r="L139" s="124"/>
      <c r="M139" s="124"/>
      <c r="O139" s="84">
        <f t="shared" si="18"/>
        <v>0</v>
      </c>
      <c r="S139" s="57"/>
      <c r="T139" s="57"/>
    </row>
    <row r="140" spans="2:20" ht="22.5" customHeight="1">
      <c r="B140" s="80"/>
      <c r="C140" s="81" t="s">
        <v>233</v>
      </c>
      <c r="D140" s="82"/>
      <c r="E140" s="80" t="s">
        <v>44</v>
      </c>
      <c r="F140" s="83">
        <v>5</v>
      </c>
      <c r="G140" s="304">
        <v>6300</v>
      </c>
      <c r="H140" s="304">
        <f>F140*G140</f>
        <v>31500</v>
      </c>
      <c r="I140" s="304">
        <v>670</v>
      </c>
      <c r="J140" s="83">
        <f>F140*I140</f>
        <v>3350</v>
      </c>
      <c r="K140" s="83">
        <f>H140+J140</f>
        <v>34850</v>
      </c>
      <c r="L140" s="124"/>
      <c r="M140" s="124"/>
      <c r="O140" s="84">
        <f>F140*(G140+I140)</f>
        <v>34850</v>
      </c>
      <c r="S140" s="57"/>
      <c r="T140" s="57"/>
    </row>
    <row r="141" spans="2:20" ht="22.5" customHeight="1">
      <c r="B141" s="80"/>
      <c r="C141" s="81" t="s">
        <v>234</v>
      </c>
      <c r="D141" s="82"/>
      <c r="E141" s="80" t="s">
        <v>44</v>
      </c>
      <c r="F141" s="83">
        <v>1</v>
      </c>
      <c r="G141" s="304">
        <v>4400</v>
      </c>
      <c r="H141" s="304">
        <f t="shared" si="15"/>
        <v>4400</v>
      </c>
      <c r="I141" s="304">
        <v>480</v>
      </c>
      <c r="J141" s="83">
        <f>F141*I141</f>
        <v>480</v>
      </c>
      <c r="K141" s="83">
        <f t="shared" si="17"/>
        <v>4880</v>
      </c>
      <c r="L141" s="124"/>
      <c r="M141" s="124"/>
      <c r="O141" s="84">
        <f t="shared" si="18"/>
        <v>4880</v>
      </c>
      <c r="S141" s="57"/>
      <c r="T141" s="57"/>
    </row>
    <row r="142" spans="2:20" ht="22.5" customHeight="1">
      <c r="B142" s="80">
        <v>18</v>
      </c>
      <c r="C142" s="81" t="s">
        <v>416</v>
      </c>
      <c r="D142" s="82"/>
      <c r="E142" s="80"/>
      <c r="F142" s="83"/>
      <c r="G142" s="304"/>
      <c r="H142" s="304"/>
      <c r="I142" s="304"/>
      <c r="J142" s="83"/>
      <c r="K142" s="83"/>
      <c r="L142" s="124"/>
      <c r="M142" s="124"/>
      <c r="O142" s="84"/>
      <c r="S142" s="57"/>
      <c r="T142" s="57"/>
    </row>
    <row r="143" spans="2:20" ht="22.5" customHeight="1">
      <c r="B143" s="75"/>
      <c r="C143" s="90" t="s">
        <v>417</v>
      </c>
      <c r="D143" s="82"/>
      <c r="E143" s="75"/>
      <c r="F143" s="83"/>
      <c r="G143" s="83"/>
      <c r="H143" s="304"/>
      <c r="I143" s="83"/>
      <c r="J143" s="83"/>
      <c r="K143" s="83"/>
      <c r="L143" s="124"/>
      <c r="M143" s="124"/>
      <c r="O143" s="84"/>
      <c r="S143" s="57"/>
      <c r="T143" s="57"/>
    </row>
    <row r="144" spans="2:20" ht="22.5" customHeight="1">
      <c r="B144" s="75"/>
      <c r="C144" s="90" t="s">
        <v>418</v>
      </c>
      <c r="D144" s="82"/>
      <c r="E144" s="105" t="s">
        <v>44</v>
      </c>
      <c r="F144" s="83">
        <v>2</v>
      </c>
      <c r="G144" s="83">
        <v>10200</v>
      </c>
      <c r="H144" s="304">
        <f>F144*G144</f>
        <v>20400</v>
      </c>
      <c r="I144" s="83">
        <v>1250</v>
      </c>
      <c r="J144" s="83">
        <f>F144*I144</f>
        <v>2500</v>
      </c>
      <c r="K144" s="83">
        <f>H144+J144</f>
        <v>22900</v>
      </c>
      <c r="L144" s="124"/>
      <c r="M144" s="124"/>
      <c r="O144" s="84"/>
      <c r="S144" s="57"/>
      <c r="T144" s="57"/>
    </row>
    <row r="145" spans="2:20" ht="22.5" customHeight="1">
      <c r="B145" s="105">
        <v>19</v>
      </c>
      <c r="C145" s="90" t="s">
        <v>419</v>
      </c>
      <c r="D145" s="82"/>
      <c r="E145" s="105" t="s">
        <v>44</v>
      </c>
      <c r="F145" s="83">
        <v>2</v>
      </c>
      <c r="G145" s="83">
        <v>22500</v>
      </c>
      <c r="H145" s="304">
        <f>F145*G145</f>
        <v>45000</v>
      </c>
      <c r="I145" s="83">
        <v>0</v>
      </c>
      <c r="J145" s="83">
        <f>F145*I145</f>
        <v>0</v>
      </c>
      <c r="K145" s="83">
        <f>H145+J145</f>
        <v>45000</v>
      </c>
      <c r="L145" s="124"/>
      <c r="M145" s="124"/>
      <c r="O145" s="84"/>
      <c r="S145" s="57"/>
      <c r="T145" s="57"/>
    </row>
    <row r="146" spans="2:20" ht="22.5" customHeight="1">
      <c r="B146" s="75"/>
      <c r="C146" s="90" t="s">
        <v>448</v>
      </c>
      <c r="D146" s="82"/>
      <c r="E146" s="75"/>
      <c r="F146" s="83"/>
      <c r="G146" s="83"/>
      <c r="H146" s="91" t="s">
        <v>2</v>
      </c>
      <c r="I146" s="83"/>
      <c r="J146" s="91" t="s">
        <v>2</v>
      </c>
      <c r="K146" s="91" t="s">
        <v>2</v>
      </c>
      <c r="L146" s="126"/>
      <c r="M146" s="126"/>
      <c r="O146" s="84">
        <f t="shared" si="18"/>
        <v>0</v>
      </c>
      <c r="S146" s="57"/>
      <c r="T146" s="57"/>
    </row>
    <row r="147" spans="2:20" ht="22.5" customHeight="1">
      <c r="B147" s="75"/>
      <c r="C147" s="500" t="s">
        <v>235</v>
      </c>
      <c r="D147" s="501"/>
      <c r="E147" s="93"/>
      <c r="F147" s="94"/>
      <c r="G147" s="94"/>
      <c r="H147" s="94">
        <f>SUM(H122:H146)</f>
        <v>956580</v>
      </c>
      <c r="I147" s="94"/>
      <c r="J147" s="94">
        <f>SUM(J122:J146)</f>
        <v>107211</v>
      </c>
      <c r="K147" s="94">
        <f>SUM(K122:K146)</f>
        <v>1063791</v>
      </c>
      <c r="L147" s="127"/>
      <c r="M147" s="127"/>
      <c r="O147" s="84">
        <f t="shared" si="18"/>
        <v>0</v>
      </c>
      <c r="S147" s="57"/>
      <c r="T147" s="57"/>
    </row>
    <row r="148" spans="2:20" ht="22.5" customHeight="1">
      <c r="B148" s="75"/>
      <c r="C148" s="118" t="s">
        <v>236</v>
      </c>
      <c r="D148" s="74"/>
      <c r="E148" s="93"/>
      <c r="F148" s="94"/>
      <c r="G148" s="94"/>
      <c r="H148" s="94"/>
      <c r="I148" s="94"/>
      <c r="J148" s="94"/>
      <c r="K148" s="94"/>
      <c r="L148" s="127"/>
      <c r="M148" s="127"/>
      <c r="O148" s="84">
        <f t="shared" si="18"/>
        <v>0</v>
      </c>
      <c r="S148" s="57"/>
      <c r="T148" s="57"/>
    </row>
    <row r="149" spans="2:20" ht="22.5" customHeight="1">
      <c r="B149" s="80">
        <v>1</v>
      </c>
      <c r="C149" s="81" t="s">
        <v>459</v>
      </c>
      <c r="D149" s="82"/>
      <c r="E149" s="80" t="s">
        <v>44</v>
      </c>
      <c r="F149" s="83">
        <v>20</v>
      </c>
      <c r="G149" s="83">
        <v>3060</v>
      </c>
      <c r="H149" s="83">
        <f aca="true" t="shared" si="19" ref="H149:H157">F149*G149</f>
        <v>61200</v>
      </c>
      <c r="I149" s="83">
        <v>450</v>
      </c>
      <c r="J149" s="83">
        <f aca="true" t="shared" si="20" ref="J149:J157">F149*I149</f>
        <v>9000</v>
      </c>
      <c r="K149" s="83">
        <f aca="true" t="shared" si="21" ref="K149:K157">H149+J149</f>
        <v>70200</v>
      </c>
      <c r="L149" s="124"/>
      <c r="M149" s="124"/>
      <c r="O149" s="84">
        <f t="shared" si="18"/>
        <v>70200</v>
      </c>
      <c r="S149" s="57"/>
      <c r="T149" s="57"/>
    </row>
    <row r="150" spans="2:20" ht="22.5" customHeight="1">
      <c r="B150" s="80">
        <v>2</v>
      </c>
      <c r="C150" s="81" t="s">
        <v>460</v>
      </c>
      <c r="D150" s="82"/>
      <c r="E150" s="80" t="s">
        <v>44</v>
      </c>
      <c r="F150" s="83">
        <v>20</v>
      </c>
      <c r="G150" s="83">
        <v>2450</v>
      </c>
      <c r="H150" s="83">
        <f t="shared" si="19"/>
        <v>49000</v>
      </c>
      <c r="I150" s="83">
        <v>450</v>
      </c>
      <c r="J150" s="83">
        <f t="shared" si="20"/>
        <v>9000</v>
      </c>
      <c r="K150" s="83">
        <f t="shared" si="21"/>
        <v>58000</v>
      </c>
      <c r="L150" s="124"/>
      <c r="M150" s="124"/>
      <c r="O150" s="84">
        <f t="shared" si="18"/>
        <v>58000</v>
      </c>
      <c r="S150" s="57"/>
      <c r="T150" s="57"/>
    </row>
    <row r="151" spans="2:20" ht="22.5" customHeight="1">
      <c r="B151" s="80">
        <v>3</v>
      </c>
      <c r="C151" s="81" t="s">
        <v>375</v>
      </c>
      <c r="D151" s="82"/>
      <c r="E151" s="80" t="s">
        <v>44</v>
      </c>
      <c r="F151" s="83">
        <v>20</v>
      </c>
      <c r="G151" s="83">
        <v>800</v>
      </c>
      <c r="H151" s="83">
        <f t="shared" si="19"/>
        <v>16000</v>
      </c>
      <c r="I151" s="83">
        <v>70</v>
      </c>
      <c r="J151" s="83">
        <f t="shared" si="20"/>
        <v>1400</v>
      </c>
      <c r="K151" s="83">
        <f t="shared" si="21"/>
        <v>17400</v>
      </c>
      <c r="L151" s="124"/>
      <c r="M151" s="124">
        <f>0.8*0.9*1500</f>
        <v>1080.0000000000002</v>
      </c>
      <c r="O151" s="84">
        <f t="shared" si="18"/>
        <v>17400</v>
      </c>
      <c r="S151" s="57"/>
      <c r="T151" s="57"/>
    </row>
    <row r="152" spans="2:20" ht="22.5" customHeight="1">
      <c r="B152" s="80">
        <v>4</v>
      </c>
      <c r="C152" s="81" t="s">
        <v>461</v>
      </c>
      <c r="D152" s="82"/>
      <c r="E152" s="80" t="s">
        <v>44</v>
      </c>
      <c r="F152" s="83">
        <v>20</v>
      </c>
      <c r="G152" s="83">
        <v>210</v>
      </c>
      <c r="H152" s="83">
        <f t="shared" si="19"/>
        <v>4200</v>
      </c>
      <c r="I152" s="83">
        <v>120</v>
      </c>
      <c r="J152" s="83">
        <f t="shared" si="20"/>
        <v>2400</v>
      </c>
      <c r="K152" s="83">
        <f t="shared" si="21"/>
        <v>6600</v>
      </c>
      <c r="L152" s="124"/>
      <c r="M152" s="124"/>
      <c r="O152" s="84">
        <f t="shared" si="18"/>
        <v>6600</v>
      </c>
      <c r="S152" s="57"/>
      <c r="T152" s="57"/>
    </row>
    <row r="153" spans="2:20" ht="22.5" customHeight="1">
      <c r="B153" s="80">
        <v>5</v>
      </c>
      <c r="C153" s="81" t="s">
        <v>462</v>
      </c>
      <c r="D153" s="82"/>
      <c r="E153" s="80" t="s">
        <v>44</v>
      </c>
      <c r="F153" s="83">
        <v>20</v>
      </c>
      <c r="G153" s="83">
        <v>3730</v>
      </c>
      <c r="H153" s="83">
        <f t="shared" si="19"/>
        <v>74600</v>
      </c>
      <c r="I153" s="83">
        <v>450</v>
      </c>
      <c r="J153" s="83">
        <f t="shared" si="20"/>
        <v>9000</v>
      </c>
      <c r="K153" s="83">
        <f t="shared" si="21"/>
        <v>83600</v>
      </c>
      <c r="L153" s="124"/>
      <c r="M153" s="124"/>
      <c r="O153" s="84">
        <f t="shared" si="18"/>
        <v>83600</v>
      </c>
      <c r="S153" s="57"/>
      <c r="T153" s="57"/>
    </row>
    <row r="154" spans="2:20" ht="22.5" customHeight="1">
      <c r="B154" s="80">
        <v>6</v>
      </c>
      <c r="C154" s="89" t="s">
        <v>466</v>
      </c>
      <c r="D154" s="82"/>
      <c r="E154" s="80" t="s">
        <v>44</v>
      </c>
      <c r="F154" s="83">
        <v>20</v>
      </c>
      <c r="G154" s="83">
        <v>1310</v>
      </c>
      <c r="H154" s="83">
        <f t="shared" si="19"/>
        <v>26200</v>
      </c>
      <c r="I154" s="83">
        <v>70</v>
      </c>
      <c r="J154" s="83">
        <f t="shared" si="20"/>
        <v>1400</v>
      </c>
      <c r="K154" s="83">
        <f t="shared" si="21"/>
        <v>27600</v>
      </c>
      <c r="L154" s="124"/>
      <c r="M154" s="124"/>
      <c r="O154" s="84">
        <f t="shared" si="18"/>
        <v>27600</v>
      </c>
      <c r="S154" s="57"/>
      <c r="T154" s="57"/>
    </row>
    <row r="155" spans="2:20" ht="22.5" customHeight="1">
      <c r="B155" s="80">
        <v>7</v>
      </c>
      <c r="C155" s="89" t="s">
        <v>463</v>
      </c>
      <c r="D155" s="82"/>
      <c r="E155" s="80" t="s">
        <v>44</v>
      </c>
      <c r="F155" s="83">
        <v>20</v>
      </c>
      <c r="G155" s="83">
        <v>210</v>
      </c>
      <c r="H155" s="83">
        <f t="shared" si="19"/>
        <v>4200</v>
      </c>
      <c r="I155" s="83">
        <v>120</v>
      </c>
      <c r="J155" s="83">
        <f t="shared" si="20"/>
        <v>2400</v>
      </c>
      <c r="K155" s="83">
        <f t="shared" si="21"/>
        <v>6600</v>
      </c>
      <c r="L155" s="124"/>
      <c r="M155" s="124"/>
      <c r="O155" s="84">
        <f t="shared" si="18"/>
        <v>6600</v>
      </c>
      <c r="S155" s="57"/>
      <c r="T155" s="57"/>
    </row>
    <row r="156" spans="2:20" ht="22.5" customHeight="1">
      <c r="B156" s="80">
        <v>8</v>
      </c>
      <c r="C156" s="89" t="s">
        <v>464</v>
      </c>
      <c r="D156" s="82"/>
      <c r="E156" s="80" t="s">
        <v>44</v>
      </c>
      <c r="F156" s="83">
        <v>20</v>
      </c>
      <c r="G156" s="83">
        <v>310</v>
      </c>
      <c r="H156" s="83">
        <f t="shared" si="19"/>
        <v>6200</v>
      </c>
      <c r="I156" s="83">
        <v>50</v>
      </c>
      <c r="J156" s="83">
        <f t="shared" si="20"/>
        <v>1000</v>
      </c>
      <c r="K156" s="83">
        <f t="shared" si="21"/>
        <v>7200</v>
      </c>
      <c r="L156" s="124"/>
      <c r="M156" s="124"/>
      <c r="O156" s="84">
        <f t="shared" si="18"/>
        <v>7200</v>
      </c>
      <c r="S156" s="57"/>
      <c r="T156" s="57"/>
    </row>
    <row r="157" spans="2:20" ht="22.5" customHeight="1">
      <c r="B157" s="80">
        <v>9</v>
      </c>
      <c r="C157" s="89" t="s">
        <v>465</v>
      </c>
      <c r="D157" s="82"/>
      <c r="E157" s="80" t="s">
        <v>44</v>
      </c>
      <c r="F157" s="83">
        <v>20</v>
      </c>
      <c r="G157" s="83">
        <v>480</v>
      </c>
      <c r="H157" s="83">
        <f t="shared" si="19"/>
        <v>9600</v>
      </c>
      <c r="I157" s="83">
        <v>120</v>
      </c>
      <c r="J157" s="83">
        <f t="shared" si="20"/>
        <v>2400</v>
      </c>
      <c r="K157" s="83">
        <f t="shared" si="21"/>
        <v>12000</v>
      </c>
      <c r="L157" s="124"/>
      <c r="M157" s="124"/>
      <c r="O157" s="84">
        <f t="shared" si="18"/>
        <v>12000</v>
      </c>
      <c r="S157" s="57"/>
      <c r="T157" s="57"/>
    </row>
    <row r="158" spans="2:20" ht="22.5" customHeight="1">
      <c r="B158" s="80">
        <v>10</v>
      </c>
      <c r="C158" s="89" t="s">
        <v>237</v>
      </c>
      <c r="D158" s="82"/>
      <c r="E158" s="80" t="s">
        <v>44</v>
      </c>
      <c r="F158" s="83">
        <v>20</v>
      </c>
      <c r="G158" s="83">
        <v>420</v>
      </c>
      <c r="H158" s="83">
        <f>F158*G158</f>
        <v>8400</v>
      </c>
      <c r="I158" s="83">
        <v>70</v>
      </c>
      <c r="J158" s="83">
        <f>F158*I158</f>
        <v>1400</v>
      </c>
      <c r="K158" s="83">
        <f>H158+J158</f>
        <v>9800</v>
      </c>
      <c r="L158" s="126"/>
      <c r="M158" s="126"/>
      <c r="O158" s="84" t="e">
        <f>#REF!*(#REF!+#REF!)</f>
        <v>#REF!</v>
      </c>
      <c r="S158" s="57"/>
      <c r="T158" s="57"/>
    </row>
    <row r="159" spans="2:20" ht="22.5" customHeight="1">
      <c r="B159" s="80">
        <v>11</v>
      </c>
      <c r="C159" s="89" t="s">
        <v>378</v>
      </c>
      <c r="D159" s="82"/>
      <c r="E159" s="80" t="s">
        <v>157</v>
      </c>
      <c r="F159" s="83">
        <v>16</v>
      </c>
      <c r="G159" s="83">
        <v>3500</v>
      </c>
      <c r="H159" s="83">
        <f>F159*G159</f>
        <v>56000</v>
      </c>
      <c r="I159" s="83">
        <v>0</v>
      </c>
      <c r="J159" s="83">
        <f>F159*I159</f>
        <v>0</v>
      </c>
      <c r="K159" s="83">
        <f>H159+J159</f>
        <v>56000</v>
      </c>
      <c r="L159" s="124"/>
      <c r="M159" s="124"/>
      <c r="O159" s="84">
        <f t="shared" si="18"/>
        <v>56000</v>
      </c>
      <c r="S159" s="57"/>
      <c r="T159" s="57"/>
    </row>
    <row r="160" spans="2:20" ht="22.5" customHeight="1">
      <c r="B160" s="105"/>
      <c r="C160" s="90"/>
      <c r="D160" s="82"/>
      <c r="E160" s="75"/>
      <c r="F160" s="83"/>
      <c r="G160" s="83"/>
      <c r="H160" s="91" t="s">
        <v>2</v>
      </c>
      <c r="I160" s="83"/>
      <c r="J160" s="91" t="s">
        <v>2</v>
      </c>
      <c r="K160" s="91" t="s">
        <v>2</v>
      </c>
      <c r="L160" s="126"/>
      <c r="M160" s="126"/>
      <c r="O160" s="84">
        <f t="shared" si="18"/>
        <v>0</v>
      </c>
      <c r="S160" s="57"/>
      <c r="T160" s="57"/>
    </row>
    <row r="161" spans="2:20" ht="22.5" customHeight="1">
      <c r="B161" s="105"/>
      <c r="C161" s="500" t="s">
        <v>238</v>
      </c>
      <c r="D161" s="501"/>
      <c r="E161" s="93"/>
      <c r="F161" s="94"/>
      <c r="G161" s="94"/>
      <c r="H161" s="94">
        <f>SUM(H148:H160)</f>
        <v>315600</v>
      </c>
      <c r="I161" s="94"/>
      <c r="J161" s="94">
        <f>SUM(J148:J160)</f>
        <v>39400</v>
      </c>
      <c r="K161" s="94">
        <f>SUM(K148:K160)</f>
        <v>355000</v>
      </c>
      <c r="L161" s="127"/>
      <c r="M161" s="127"/>
      <c r="O161" s="84">
        <f t="shared" si="18"/>
        <v>0</v>
      </c>
      <c r="S161" s="57"/>
      <c r="T161" s="57"/>
    </row>
    <row r="162" spans="2:15" ht="22.5" customHeight="1">
      <c r="B162" s="80"/>
      <c r="C162" s="118" t="s">
        <v>239</v>
      </c>
      <c r="D162" s="74"/>
      <c r="E162" s="75"/>
      <c r="F162" s="109"/>
      <c r="G162" s="83"/>
      <c r="H162" s="91" t="s">
        <v>2</v>
      </c>
      <c r="I162" s="83"/>
      <c r="J162" s="91" t="s">
        <v>2</v>
      </c>
      <c r="K162" s="91" t="s">
        <v>2</v>
      </c>
      <c r="L162" s="126"/>
      <c r="M162" s="126"/>
      <c r="O162" s="84">
        <f>F162*(G162+I162)</f>
        <v>0</v>
      </c>
    </row>
    <row r="163" spans="2:15" ht="22.5" customHeight="1">
      <c r="B163" s="80">
        <v>1</v>
      </c>
      <c r="C163" s="81" t="s">
        <v>240</v>
      </c>
      <c r="D163" s="110"/>
      <c r="E163" s="80" t="s">
        <v>6</v>
      </c>
      <c r="F163" s="83">
        <v>8270</v>
      </c>
      <c r="G163" s="83">
        <v>42</v>
      </c>
      <c r="H163" s="83">
        <f>F163*G163</f>
        <v>347340</v>
      </c>
      <c r="I163" s="83">
        <v>25</v>
      </c>
      <c r="J163" s="83">
        <f>F163*I163</f>
        <v>206750</v>
      </c>
      <c r="K163" s="83">
        <f>H163+J163</f>
        <v>554090</v>
      </c>
      <c r="L163" s="124"/>
      <c r="M163" s="124"/>
      <c r="O163" s="84">
        <f>F163*(G163+I163)</f>
        <v>554090</v>
      </c>
    </row>
    <row r="164" spans="2:15" ht="22.5" customHeight="1">
      <c r="B164" s="80">
        <v>2</v>
      </c>
      <c r="C164" s="81" t="s">
        <v>106</v>
      </c>
      <c r="D164" s="110"/>
      <c r="E164" s="80" t="s">
        <v>6</v>
      </c>
      <c r="F164" s="83">
        <v>1450</v>
      </c>
      <c r="G164" s="83">
        <v>37</v>
      </c>
      <c r="H164" s="83">
        <f>F164*G164</f>
        <v>53650</v>
      </c>
      <c r="I164" s="83">
        <v>30</v>
      </c>
      <c r="J164" s="83">
        <f>F164*I164</f>
        <v>43500</v>
      </c>
      <c r="K164" s="83">
        <f>H164+J164</f>
        <v>97150</v>
      </c>
      <c r="L164" s="124"/>
      <c r="M164" s="124"/>
      <c r="O164" s="84">
        <f>F164*(G164+I164)</f>
        <v>97150</v>
      </c>
    </row>
    <row r="165" spans="2:15" ht="22.5" customHeight="1">
      <c r="B165" s="105"/>
      <c r="C165" s="90"/>
      <c r="D165" s="110"/>
      <c r="E165" s="75"/>
      <c r="F165" s="109"/>
      <c r="G165" s="83"/>
      <c r="H165" s="91" t="s">
        <v>2</v>
      </c>
      <c r="I165" s="83"/>
      <c r="J165" s="91" t="s">
        <v>2</v>
      </c>
      <c r="K165" s="91" t="s">
        <v>2</v>
      </c>
      <c r="L165" s="126"/>
      <c r="M165" s="126"/>
      <c r="O165" s="84">
        <f>F165*(G165+I165)</f>
        <v>0</v>
      </c>
    </row>
    <row r="166" spans="2:15" ht="22.5" customHeight="1">
      <c r="B166" s="105"/>
      <c r="C166" s="500" t="s">
        <v>241</v>
      </c>
      <c r="D166" s="501"/>
      <c r="E166" s="93"/>
      <c r="F166" s="94"/>
      <c r="G166" s="94"/>
      <c r="H166" s="94">
        <f>SUM(H162:H165)</f>
        <v>400990</v>
      </c>
      <c r="I166" s="94"/>
      <c r="J166" s="94">
        <f>SUM(J162:J165)</f>
        <v>250250</v>
      </c>
      <c r="K166" s="94">
        <f>SUM(K162:K165)</f>
        <v>651240</v>
      </c>
      <c r="L166" s="127"/>
      <c r="M166" s="127"/>
      <c r="O166" s="84">
        <f>F166*(G166+I166)</f>
        <v>0</v>
      </c>
    </row>
    <row r="167" spans="2:15" ht="22.5" customHeight="1">
      <c r="B167" s="80"/>
      <c r="C167" s="118" t="s">
        <v>242</v>
      </c>
      <c r="D167" s="74"/>
      <c r="E167" s="75"/>
      <c r="F167" s="83"/>
      <c r="G167" s="83"/>
      <c r="H167" s="91" t="s">
        <v>2</v>
      </c>
      <c r="I167" s="83"/>
      <c r="J167" s="91" t="s">
        <v>2</v>
      </c>
      <c r="K167" s="91" t="s">
        <v>2</v>
      </c>
      <c r="L167" s="126"/>
      <c r="M167" s="126"/>
      <c r="O167" s="84">
        <f aca="true" t="shared" si="22" ref="O167:O178">F167*(G167+I167)</f>
        <v>0</v>
      </c>
    </row>
    <row r="168" spans="2:15" ht="22.5" customHeight="1">
      <c r="B168" s="80">
        <v>1</v>
      </c>
      <c r="C168" s="81" t="s">
        <v>383</v>
      </c>
      <c r="D168" s="110"/>
      <c r="E168" s="80" t="s">
        <v>31</v>
      </c>
      <c r="F168" s="83">
        <v>29</v>
      </c>
      <c r="G168" s="304">
        <v>1100</v>
      </c>
      <c r="H168" s="83">
        <f aca="true" t="shared" si="23" ref="H168:H173">F168*G168</f>
        <v>31900</v>
      </c>
      <c r="I168" s="83">
        <v>0</v>
      </c>
      <c r="J168" s="83">
        <f aca="true" t="shared" si="24" ref="J168:J173">F168*I168</f>
        <v>0</v>
      </c>
      <c r="K168" s="83">
        <f aca="true" t="shared" si="25" ref="K168:K173">H168+J168</f>
        <v>31900</v>
      </c>
      <c r="L168" s="124"/>
      <c r="M168" s="124"/>
      <c r="O168" s="84">
        <f t="shared" si="22"/>
        <v>31900</v>
      </c>
    </row>
    <row r="169" spans="2:15" ht="22.5" customHeight="1">
      <c r="B169" s="80">
        <v>2</v>
      </c>
      <c r="C169" s="81" t="s">
        <v>384</v>
      </c>
      <c r="D169" s="110"/>
      <c r="E169" s="80" t="s">
        <v>31</v>
      </c>
      <c r="F169" s="83">
        <v>24</v>
      </c>
      <c r="G169" s="304">
        <v>320</v>
      </c>
      <c r="H169" s="83">
        <f t="shared" si="23"/>
        <v>7680</v>
      </c>
      <c r="I169" s="304">
        <v>115</v>
      </c>
      <c r="J169" s="83">
        <f t="shared" si="24"/>
        <v>2760</v>
      </c>
      <c r="K169" s="83">
        <f t="shared" si="25"/>
        <v>10440</v>
      </c>
      <c r="L169" s="124"/>
      <c r="M169" s="124"/>
      <c r="O169" s="84">
        <f t="shared" si="22"/>
        <v>10440</v>
      </c>
    </row>
    <row r="170" spans="2:15" ht="22.5" customHeight="1">
      <c r="B170" s="80">
        <v>3</v>
      </c>
      <c r="C170" s="81" t="s">
        <v>203</v>
      </c>
      <c r="D170" s="110"/>
      <c r="E170" s="80" t="s">
        <v>31</v>
      </c>
      <c r="F170" s="109">
        <v>260</v>
      </c>
      <c r="G170" s="304">
        <v>320</v>
      </c>
      <c r="H170" s="83">
        <f t="shared" si="23"/>
        <v>83200</v>
      </c>
      <c r="I170" s="304">
        <v>115</v>
      </c>
      <c r="J170" s="83">
        <f t="shared" si="24"/>
        <v>29900</v>
      </c>
      <c r="K170" s="83">
        <f t="shared" si="25"/>
        <v>113100</v>
      </c>
      <c r="L170" s="124"/>
      <c r="M170" s="124"/>
      <c r="O170" s="84">
        <f t="shared" si="22"/>
        <v>113100</v>
      </c>
    </row>
    <row r="171" spans="2:15" ht="22.5" customHeight="1">
      <c r="B171" s="80">
        <v>4</v>
      </c>
      <c r="C171" s="81" t="s">
        <v>202</v>
      </c>
      <c r="D171" s="110"/>
      <c r="E171" s="80" t="s">
        <v>31</v>
      </c>
      <c r="F171" s="109">
        <v>180</v>
      </c>
      <c r="G171" s="304">
        <v>170</v>
      </c>
      <c r="H171" s="83">
        <f t="shared" si="23"/>
        <v>30600</v>
      </c>
      <c r="I171" s="304">
        <v>75</v>
      </c>
      <c r="J171" s="83">
        <f t="shared" si="24"/>
        <v>13500</v>
      </c>
      <c r="K171" s="83">
        <f t="shared" si="25"/>
        <v>44100</v>
      </c>
      <c r="L171" s="124"/>
      <c r="M171" s="124"/>
      <c r="O171" s="84">
        <f t="shared" si="22"/>
        <v>44100</v>
      </c>
    </row>
    <row r="172" spans="2:15" ht="22.5" customHeight="1">
      <c r="B172" s="80">
        <v>5</v>
      </c>
      <c r="C172" s="81" t="s">
        <v>201</v>
      </c>
      <c r="D172" s="110"/>
      <c r="E172" s="80" t="s">
        <v>44</v>
      </c>
      <c r="F172" s="109">
        <v>1</v>
      </c>
      <c r="G172" s="304">
        <v>3500</v>
      </c>
      <c r="H172" s="304">
        <f t="shared" si="23"/>
        <v>3500</v>
      </c>
      <c r="I172" s="304">
        <v>750</v>
      </c>
      <c r="J172" s="83">
        <f t="shared" si="24"/>
        <v>750</v>
      </c>
      <c r="K172" s="83">
        <f t="shared" si="25"/>
        <v>4250</v>
      </c>
      <c r="L172" s="124"/>
      <c r="M172" s="124">
        <f>2700+800</f>
        <v>3500</v>
      </c>
      <c r="O172" s="84">
        <f t="shared" si="22"/>
        <v>4250</v>
      </c>
    </row>
    <row r="173" spans="2:15" ht="22.5" customHeight="1">
      <c r="B173" s="80">
        <v>6</v>
      </c>
      <c r="C173" s="81" t="s">
        <v>379</v>
      </c>
      <c r="D173" s="110"/>
      <c r="E173" s="80" t="s">
        <v>31</v>
      </c>
      <c r="F173" s="109">
        <v>180</v>
      </c>
      <c r="G173" s="83">
        <v>120</v>
      </c>
      <c r="H173" s="83">
        <f t="shared" si="23"/>
        <v>21600</v>
      </c>
      <c r="I173" s="83">
        <v>40</v>
      </c>
      <c r="J173" s="83">
        <f t="shared" si="24"/>
        <v>7200</v>
      </c>
      <c r="K173" s="83">
        <f t="shared" si="25"/>
        <v>28800</v>
      </c>
      <c r="L173" s="124"/>
      <c r="M173" s="124"/>
      <c r="O173" s="84">
        <f t="shared" si="22"/>
        <v>28800</v>
      </c>
    </row>
    <row r="174" spans="2:15" ht="22.5" customHeight="1">
      <c r="B174" s="80">
        <v>7</v>
      </c>
      <c r="C174" s="81" t="s">
        <v>381</v>
      </c>
      <c r="D174" s="110"/>
      <c r="E174" s="75"/>
      <c r="F174" s="109"/>
      <c r="G174" s="109"/>
      <c r="H174" s="91" t="s">
        <v>2</v>
      </c>
      <c r="I174" s="83"/>
      <c r="J174" s="91" t="s">
        <v>2</v>
      </c>
      <c r="K174" s="91" t="s">
        <v>2</v>
      </c>
      <c r="L174" s="126"/>
      <c r="M174" s="126"/>
      <c r="O174" s="84">
        <f t="shared" si="22"/>
        <v>0</v>
      </c>
    </row>
    <row r="175" spans="2:15" ht="22.5" customHeight="1">
      <c r="B175" s="80" t="s">
        <v>2</v>
      </c>
      <c r="C175" s="81" t="s">
        <v>380</v>
      </c>
      <c r="D175" s="110"/>
      <c r="E175" s="80" t="s">
        <v>107</v>
      </c>
      <c r="F175" s="109">
        <v>6</v>
      </c>
      <c r="G175" s="109">
        <v>180</v>
      </c>
      <c r="H175" s="83">
        <f>F175*G175</f>
        <v>1080</v>
      </c>
      <c r="I175" s="83">
        <v>50</v>
      </c>
      <c r="J175" s="83">
        <f>F175*I175</f>
        <v>300</v>
      </c>
      <c r="K175" s="83">
        <f>H175+J175</f>
        <v>1380</v>
      </c>
      <c r="L175" s="124"/>
      <c r="M175" s="124">
        <f>240-60</f>
        <v>180</v>
      </c>
      <c r="O175" s="84">
        <f t="shared" si="22"/>
        <v>1380</v>
      </c>
    </row>
    <row r="176" spans="2:15" ht="22.5" customHeight="1">
      <c r="B176" s="80">
        <v>8</v>
      </c>
      <c r="C176" s="81" t="s">
        <v>415</v>
      </c>
      <c r="D176" s="110"/>
      <c r="E176" s="80" t="s">
        <v>108</v>
      </c>
      <c r="F176" s="109">
        <v>1</v>
      </c>
      <c r="G176" s="83">
        <v>2400</v>
      </c>
      <c r="H176" s="83">
        <f>F176*G176</f>
        <v>2400</v>
      </c>
      <c r="I176" s="83">
        <v>100</v>
      </c>
      <c r="J176" s="83">
        <f>F176*I176</f>
        <v>100</v>
      </c>
      <c r="K176" s="83">
        <f>H176+J176</f>
        <v>2500</v>
      </c>
      <c r="L176" s="124"/>
      <c r="M176" s="124"/>
      <c r="O176" s="84">
        <f t="shared" si="22"/>
        <v>2500</v>
      </c>
    </row>
    <row r="177" spans="2:15" ht="22.5" customHeight="1">
      <c r="B177" s="105"/>
      <c r="C177" s="90"/>
      <c r="D177" s="110"/>
      <c r="E177" s="75"/>
      <c r="F177" s="83"/>
      <c r="G177" s="83"/>
      <c r="H177" s="91" t="s">
        <v>2</v>
      </c>
      <c r="I177" s="83"/>
      <c r="J177" s="91" t="s">
        <v>2</v>
      </c>
      <c r="K177" s="91" t="s">
        <v>2</v>
      </c>
      <c r="L177" s="126"/>
      <c r="M177" s="126"/>
      <c r="O177" s="84">
        <f t="shared" si="22"/>
        <v>0</v>
      </c>
    </row>
    <row r="178" spans="2:15" ht="22.5" customHeight="1">
      <c r="B178" s="105"/>
      <c r="C178" s="500" t="s">
        <v>243</v>
      </c>
      <c r="D178" s="501"/>
      <c r="E178" s="93"/>
      <c r="F178" s="94"/>
      <c r="G178" s="94"/>
      <c r="H178" s="94">
        <f>SUM(H167:H177)</f>
        <v>181960</v>
      </c>
      <c r="I178" s="94"/>
      <c r="J178" s="94">
        <f>SUM(J167:J177)</f>
        <v>54510</v>
      </c>
      <c r="K178" s="94">
        <f>SUM(K167:K177)</f>
        <v>236470</v>
      </c>
      <c r="L178" s="127"/>
      <c r="M178" s="127"/>
      <c r="O178" s="84">
        <f t="shared" si="22"/>
        <v>0</v>
      </c>
    </row>
    <row r="179" spans="2:20" ht="22.5" customHeight="1">
      <c r="B179" s="80"/>
      <c r="C179" s="118" t="s">
        <v>244</v>
      </c>
      <c r="D179" s="74"/>
      <c r="E179" s="75"/>
      <c r="F179" s="83"/>
      <c r="G179" s="83"/>
      <c r="H179" s="91" t="s">
        <v>2</v>
      </c>
      <c r="I179" s="83"/>
      <c r="J179" s="91" t="s">
        <v>2</v>
      </c>
      <c r="K179" s="91" t="s">
        <v>2</v>
      </c>
      <c r="L179" s="126"/>
      <c r="M179" s="126"/>
      <c r="O179" s="84">
        <f t="shared" si="18"/>
        <v>0</v>
      </c>
      <c r="S179" s="57"/>
      <c r="T179" s="57"/>
    </row>
    <row r="180" spans="2:20" ht="22.5" customHeight="1">
      <c r="B180" s="80">
        <v>1</v>
      </c>
      <c r="C180" s="89" t="s">
        <v>245</v>
      </c>
      <c r="D180" s="74"/>
      <c r="E180" s="75"/>
      <c r="F180" s="83"/>
      <c r="G180" s="83"/>
      <c r="H180" s="91"/>
      <c r="I180" s="83"/>
      <c r="J180" s="91"/>
      <c r="K180" s="91"/>
      <c r="L180" s="126"/>
      <c r="M180" s="126"/>
      <c r="O180" s="84"/>
      <c r="S180" s="57"/>
      <c r="T180" s="57"/>
    </row>
    <row r="181" spans="2:20" ht="22.5" customHeight="1">
      <c r="B181" s="80"/>
      <c r="C181" s="81" t="s">
        <v>246</v>
      </c>
      <c r="D181" s="82"/>
      <c r="E181" s="80" t="s">
        <v>51</v>
      </c>
      <c r="F181" s="83">
        <v>8</v>
      </c>
      <c r="G181" s="83">
        <v>1246</v>
      </c>
      <c r="H181" s="83">
        <f aca="true" t="shared" si="26" ref="H181:H198">F181*G181</f>
        <v>9968</v>
      </c>
      <c r="I181" s="83">
        <v>800</v>
      </c>
      <c r="J181" s="83">
        <f aca="true" t="shared" si="27" ref="J181:J198">F181*I181</f>
        <v>6400</v>
      </c>
      <c r="K181" s="83">
        <f aca="true" t="shared" si="28" ref="K181:K200">H181+J181</f>
        <v>16368</v>
      </c>
      <c r="L181" s="124"/>
      <c r="M181" s="124"/>
      <c r="N181" s="57">
        <f>102*4</f>
        <v>408</v>
      </c>
      <c r="O181" s="84">
        <f t="shared" si="18"/>
        <v>16368</v>
      </c>
      <c r="S181" s="57"/>
      <c r="T181" s="57"/>
    </row>
    <row r="182" spans="2:20" ht="22.5" customHeight="1">
      <c r="B182" s="80"/>
      <c r="C182" s="81" t="s">
        <v>247</v>
      </c>
      <c r="D182" s="82"/>
      <c r="E182" s="80" t="s">
        <v>51</v>
      </c>
      <c r="F182" s="83">
        <v>27</v>
      </c>
      <c r="G182" s="83">
        <v>588</v>
      </c>
      <c r="H182" s="83">
        <f t="shared" si="26"/>
        <v>15876</v>
      </c>
      <c r="I182" s="83">
        <v>400</v>
      </c>
      <c r="J182" s="83">
        <f t="shared" si="27"/>
        <v>10800</v>
      </c>
      <c r="K182" s="83">
        <f t="shared" si="28"/>
        <v>26676</v>
      </c>
      <c r="L182" s="124"/>
      <c r="M182" s="124"/>
      <c r="N182" s="57">
        <f>48*4</f>
        <v>192</v>
      </c>
      <c r="O182" s="84">
        <f t="shared" si="18"/>
        <v>26676</v>
      </c>
      <c r="S182" s="57"/>
      <c r="T182" s="57"/>
    </row>
    <row r="183" spans="2:20" ht="22.5" customHeight="1">
      <c r="B183" s="80">
        <v>2</v>
      </c>
      <c r="C183" s="89" t="s">
        <v>248</v>
      </c>
      <c r="D183" s="82"/>
      <c r="E183" s="80"/>
      <c r="F183" s="83"/>
      <c r="G183" s="83"/>
      <c r="H183" s="83"/>
      <c r="I183" s="83"/>
      <c r="J183" s="83"/>
      <c r="K183" s="83"/>
      <c r="L183" s="124"/>
      <c r="M183" s="124"/>
      <c r="O183" s="84"/>
      <c r="S183" s="57"/>
      <c r="T183" s="57"/>
    </row>
    <row r="184" spans="2:20" ht="22.5" customHeight="1">
      <c r="B184" s="80"/>
      <c r="C184" s="81" t="s">
        <v>249</v>
      </c>
      <c r="D184" s="82"/>
      <c r="E184" s="80" t="s">
        <v>51</v>
      </c>
      <c r="F184" s="83">
        <v>8</v>
      </c>
      <c r="G184" s="83">
        <v>363</v>
      </c>
      <c r="H184" s="83">
        <f t="shared" si="26"/>
        <v>2904</v>
      </c>
      <c r="I184" s="83">
        <v>300</v>
      </c>
      <c r="J184" s="83">
        <f t="shared" si="27"/>
        <v>2400</v>
      </c>
      <c r="K184" s="83">
        <f t="shared" si="28"/>
        <v>5304</v>
      </c>
      <c r="L184" s="124"/>
      <c r="M184" s="124"/>
      <c r="N184" s="57">
        <f>30*4</f>
        <v>120</v>
      </c>
      <c r="O184" s="84">
        <f t="shared" si="18"/>
        <v>5304</v>
      </c>
      <c r="S184" s="57"/>
      <c r="T184" s="57"/>
    </row>
    <row r="185" spans="2:20" ht="22.5" customHeight="1">
      <c r="B185" s="80"/>
      <c r="C185" s="81" t="s">
        <v>250</v>
      </c>
      <c r="D185" s="82"/>
      <c r="E185" s="80" t="s">
        <v>51</v>
      </c>
      <c r="F185" s="83">
        <v>15</v>
      </c>
      <c r="G185" s="83">
        <v>262</v>
      </c>
      <c r="H185" s="83">
        <f t="shared" si="26"/>
        <v>3930</v>
      </c>
      <c r="I185" s="83">
        <v>200</v>
      </c>
      <c r="J185" s="83">
        <f t="shared" si="27"/>
        <v>3000</v>
      </c>
      <c r="K185" s="83">
        <f t="shared" si="28"/>
        <v>6930</v>
      </c>
      <c r="L185" s="124"/>
      <c r="M185" s="124"/>
      <c r="N185" s="57">
        <f>20*4</f>
        <v>80</v>
      </c>
      <c r="O185" s="84">
        <f t="shared" si="18"/>
        <v>6930</v>
      </c>
      <c r="S185" s="57"/>
      <c r="T185" s="57"/>
    </row>
    <row r="186" spans="2:20" ht="22.5" customHeight="1">
      <c r="B186" s="80"/>
      <c r="C186" s="81" t="s">
        <v>251</v>
      </c>
      <c r="D186" s="82"/>
      <c r="E186" s="80" t="s">
        <v>51</v>
      </c>
      <c r="F186" s="83">
        <v>37</v>
      </c>
      <c r="G186" s="83">
        <v>165</v>
      </c>
      <c r="H186" s="83">
        <f t="shared" si="26"/>
        <v>6105</v>
      </c>
      <c r="I186" s="83">
        <v>160</v>
      </c>
      <c r="J186" s="83">
        <f t="shared" si="27"/>
        <v>5920</v>
      </c>
      <c r="K186" s="83">
        <f t="shared" si="28"/>
        <v>12025</v>
      </c>
      <c r="L186" s="124"/>
      <c r="M186" s="124"/>
      <c r="O186" s="84">
        <f t="shared" si="18"/>
        <v>12025</v>
      </c>
      <c r="S186" s="57"/>
      <c r="T186" s="57"/>
    </row>
    <row r="187" spans="2:20" ht="22.5" customHeight="1">
      <c r="B187" s="80"/>
      <c r="C187" s="81" t="s">
        <v>252</v>
      </c>
      <c r="D187" s="82"/>
      <c r="E187" s="80" t="s">
        <v>51</v>
      </c>
      <c r="F187" s="83">
        <v>9</v>
      </c>
      <c r="G187" s="83">
        <v>104</v>
      </c>
      <c r="H187" s="83">
        <f t="shared" si="26"/>
        <v>936</v>
      </c>
      <c r="I187" s="83">
        <v>120</v>
      </c>
      <c r="J187" s="83">
        <f t="shared" si="27"/>
        <v>1080</v>
      </c>
      <c r="K187" s="83">
        <f t="shared" si="28"/>
        <v>2016</v>
      </c>
      <c r="L187" s="124"/>
      <c r="M187" s="124"/>
      <c r="O187" s="84">
        <f t="shared" si="18"/>
        <v>2016</v>
      </c>
      <c r="S187" s="57"/>
      <c r="T187" s="57"/>
    </row>
    <row r="188" spans="2:20" ht="22.5" customHeight="1">
      <c r="B188" s="80">
        <v>3</v>
      </c>
      <c r="C188" s="89" t="s">
        <v>382</v>
      </c>
      <c r="D188" s="82"/>
      <c r="E188" s="80" t="s">
        <v>51</v>
      </c>
      <c r="F188" s="83">
        <v>2</v>
      </c>
      <c r="G188" s="83">
        <v>1464</v>
      </c>
      <c r="H188" s="83">
        <f t="shared" si="26"/>
        <v>2928</v>
      </c>
      <c r="I188" s="83">
        <v>480</v>
      </c>
      <c r="J188" s="83">
        <f t="shared" si="27"/>
        <v>960</v>
      </c>
      <c r="K188" s="83">
        <f t="shared" si="28"/>
        <v>3888</v>
      </c>
      <c r="L188" s="124"/>
      <c r="M188" s="124"/>
      <c r="N188" s="57">
        <f>125*6</f>
        <v>750</v>
      </c>
      <c r="O188" s="84">
        <f t="shared" si="18"/>
        <v>3888</v>
      </c>
      <c r="S188" s="57"/>
      <c r="T188" s="57"/>
    </row>
    <row r="189" spans="2:20" ht="22.5" customHeight="1">
      <c r="B189" s="80">
        <v>4</v>
      </c>
      <c r="C189" s="89" t="s">
        <v>253</v>
      </c>
      <c r="D189" s="82"/>
      <c r="E189" s="80"/>
      <c r="F189" s="83"/>
      <c r="G189" s="83"/>
      <c r="H189" s="83"/>
      <c r="I189" s="83"/>
      <c r="J189" s="83"/>
      <c r="K189" s="83"/>
      <c r="L189" s="124"/>
      <c r="M189" s="124"/>
      <c r="O189" s="84"/>
      <c r="S189" s="57"/>
      <c r="T189" s="57"/>
    </row>
    <row r="190" spans="2:20" ht="22.5" customHeight="1">
      <c r="B190" s="80"/>
      <c r="C190" s="81" t="s">
        <v>250</v>
      </c>
      <c r="D190" s="82"/>
      <c r="E190" s="80" t="s">
        <v>51</v>
      </c>
      <c r="F190" s="83">
        <v>19</v>
      </c>
      <c r="G190" s="83">
        <v>262</v>
      </c>
      <c r="H190" s="83">
        <f t="shared" si="26"/>
        <v>4978</v>
      </c>
      <c r="I190" s="83">
        <v>200</v>
      </c>
      <c r="J190" s="83">
        <f t="shared" si="27"/>
        <v>3800</v>
      </c>
      <c r="K190" s="83">
        <f t="shared" si="28"/>
        <v>8778</v>
      </c>
      <c r="L190" s="124"/>
      <c r="M190" s="124"/>
      <c r="O190" s="84">
        <f t="shared" si="18"/>
        <v>8778</v>
      </c>
      <c r="S190" s="57"/>
      <c r="T190" s="57"/>
    </row>
    <row r="191" spans="2:20" ht="22.5" customHeight="1">
      <c r="B191" s="80"/>
      <c r="C191" s="81" t="s">
        <v>252</v>
      </c>
      <c r="D191" s="82"/>
      <c r="E191" s="80" t="s">
        <v>51</v>
      </c>
      <c r="F191" s="83">
        <v>4</v>
      </c>
      <c r="G191" s="83">
        <v>104</v>
      </c>
      <c r="H191" s="83">
        <f t="shared" si="26"/>
        <v>416</v>
      </c>
      <c r="I191" s="83">
        <v>120</v>
      </c>
      <c r="J191" s="83">
        <f t="shared" si="27"/>
        <v>480</v>
      </c>
      <c r="K191" s="83">
        <f t="shared" si="28"/>
        <v>896</v>
      </c>
      <c r="L191" s="124"/>
      <c r="M191" s="124"/>
      <c r="O191" s="84">
        <f t="shared" si="18"/>
        <v>896</v>
      </c>
      <c r="S191" s="57"/>
      <c r="T191" s="57"/>
    </row>
    <row r="192" spans="2:20" ht="22.5" customHeight="1">
      <c r="B192" s="80"/>
      <c r="C192" s="81" t="s">
        <v>254</v>
      </c>
      <c r="D192" s="82"/>
      <c r="E192" s="80" t="s">
        <v>51</v>
      </c>
      <c r="F192" s="83">
        <v>17</v>
      </c>
      <c r="G192" s="83">
        <v>80</v>
      </c>
      <c r="H192" s="83">
        <f t="shared" si="26"/>
        <v>1360</v>
      </c>
      <c r="I192" s="83">
        <v>120</v>
      </c>
      <c r="J192" s="83">
        <f t="shared" si="27"/>
        <v>2040</v>
      </c>
      <c r="K192" s="83">
        <f t="shared" si="28"/>
        <v>3400</v>
      </c>
      <c r="L192" s="124"/>
      <c r="M192" s="124"/>
      <c r="O192" s="84">
        <f t="shared" si="18"/>
        <v>3400</v>
      </c>
      <c r="S192" s="57"/>
      <c r="T192" s="57"/>
    </row>
    <row r="193" spans="2:20" ht="22.5" customHeight="1">
      <c r="B193" s="80"/>
      <c r="C193" s="81" t="s">
        <v>255</v>
      </c>
      <c r="D193" s="82"/>
      <c r="E193" s="80" t="s">
        <v>51</v>
      </c>
      <c r="F193" s="83">
        <v>31</v>
      </c>
      <c r="G193" s="83">
        <v>64</v>
      </c>
      <c r="H193" s="83">
        <f t="shared" si="26"/>
        <v>1984</v>
      </c>
      <c r="I193" s="83">
        <v>120</v>
      </c>
      <c r="J193" s="83">
        <f t="shared" si="27"/>
        <v>3720</v>
      </c>
      <c r="K193" s="83">
        <f t="shared" si="28"/>
        <v>5704</v>
      </c>
      <c r="L193" s="124"/>
      <c r="M193" s="124"/>
      <c r="O193" s="84">
        <f t="shared" si="18"/>
        <v>5704</v>
      </c>
      <c r="S193" s="57"/>
      <c r="T193" s="57"/>
    </row>
    <row r="194" spans="2:20" ht="22.5" customHeight="1">
      <c r="B194" s="80">
        <v>5</v>
      </c>
      <c r="C194" s="89" t="s">
        <v>256</v>
      </c>
      <c r="D194" s="82"/>
      <c r="E194" s="80"/>
      <c r="F194" s="83"/>
      <c r="G194" s="83"/>
      <c r="H194" s="83"/>
      <c r="I194" s="83" t="s">
        <v>414</v>
      </c>
      <c r="J194" s="83"/>
      <c r="K194" s="83"/>
      <c r="L194" s="124"/>
      <c r="M194" s="124"/>
      <c r="O194" s="84"/>
      <c r="S194" s="57"/>
      <c r="T194" s="57"/>
    </row>
    <row r="195" spans="2:20" ht="22.5" customHeight="1">
      <c r="B195" s="80"/>
      <c r="C195" s="81" t="s">
        <v>249</v>
      </c>
      <c r="D195" s="82"/>
      <c r="E195" s="80" t="s">
        <v>51</v>
      </c>
      <c r="F195" s="83">
        <v>43</v>
      </c>
      <c r="G195" s="83">
        <v>363</v>
      </c>
      <c r="H195" s="83">
        <f t="shared" si="26"/>
        <v>15609</v>
      </c>
      <c r="I195" s="83">
        <v>300</v>
      </c>
      <c r="J195" s="83">
        <f t="shared" si="27"/>
        <v>12900</v>
      </c>
      <c r="K195" s="83">
        <f t="shared" si="28"/>
        <v>28509</v>
      </c>
      <c r="L195" s="124"/>
      <c r="M195" s="124"/>
      <c r="O195" s="84">
        <f t="shared" si="18"/>
        <v>28509</v>
      </c>
      <c r="S195" s="57"/>
      <c r="T195" s="57"/>
    </row>
    <row r="196" spans="2:20" ht="22.5" customHeight="1">
      <c r="B196" s="80"/>
      <c r="C196" s="81" t="s">
        <v>251</v>
      </c>
      <c r="D196" s="82"/>
      <c r="E196" s="80" t="s">
        <v>51</v>
      </c>
      <c r="F196" s="83">
        <v>5</v>
      </c>
      <c r="G196" s="83">
        <v>165</v>
      </c>
      <c r="H196" s="83">
        <f t="shared" si="26"/>
        <v>825</v>
      </c>
      <c r="I196" s="83">
        <v>160</v>
      </c>
      <c r="J196" s="83">
        <f t="shared" si="27"/>
        <v>800</v>
      </c>
      <c r="K196" s="83">
        <f t="shared" si="28"/>
        <v>1625</v>
      </c>
      <c r="L196" s="124"/>
      <c r="M196" s="124"/>
      <c r="O196" s="84">
        <f t="shared" si="18"/>
        <v>1625</v>
      </c>
      <c r="S196" s="57"/>
      <c r="T196" s="57"/>
    </row>
    <row r="197" spans="2:20" ht="22.5" customHeight="1">
      <c r="B197" s="80">
        <v>6</v>
      </c>
      <c r="C197" s="89" t="s">
        <v>257</v>
      </c>
      <c r="D197" s="82"/>
      <c r="E197" s="80" t="s">
        <v>51</v>
      </c>
      <c r="F197" s="83">
        <v>8</v>
      </c>
      <c r="G197" s="83">
        <v>1188</v>
      </c>
      <c r="H197" s="83">
        <f t="shared" si="26"/>
        <v>9504</v>
      </c>
      <c r="I197" s="83">
        <v>600</v>
      </c>
      <c r="J197" s="83">
        <f t="shared" si="27"/>
        <v>4800</v>
      </c>
      <c r="K197" s="83">
        <f t="shared" si="28"/>
        <v>14304</v>
      </c>
      <c r="L197" s="124"/>
      <c r="M197" s="124"/>
      <c r="N197" s="57">
        <f>98*6</f>
        <v>588</v>
      </c>
      <c r="O197" s="84">
        <f t="shared" si="18"/>
        <v>14304</v>
      </c>
      <c r="S197" s="57"/>
      <c r="T197" s="57"/>
    </row>
    <row r="198" spans="2:20" ht="22.5" customHeight="1">
      <c r="B198" s="105">
        <v>7</v>
      </c>
      <c r="C198" s="81" t="s">
        <v>413</v>
      </c>
      <c r="D198" s="82"/>
      <c r="E198" s="80" t="s">
        <v>52</v>
      </c>
      <c r="F198" s="83">
        <v>1</v>
      </c>
      <c r="G198" s="83">
        <f>SUM(H181:H197)*0.8</f>
        <v>61858.4</v>
      </c>
      <c r="H198" s="83">
        <f t="shared" si="26"/>
        <v>61858.4</v>
      </c>
      <c r="I198" s="83">
        <f>G198*0.3</f>
        <v>18557.52</v>
      </c>
      <c r="J198" s="83">
        <f t="shared" si="27"/>
        <v>18557.52</v>
      </c>
      <c r="K198" s="83">
        <f t="shared" si="28"/>
        <v>80415.92</v>
      </c>
      <c r="L198" s="124"/>
      <c r="M198" s="124"/>
      <c r="O198" s="84">
        <f t="shared" si="18"/>
        <v>80415.92</v>
      </c>
      <c r="S198" s="57"/>
      <c r="T198" s="57"/>
    </row>
    <row r="199" spans="2:20" ht="22.5" customHeight="1">
      <c r="B199" s="80">
        <v>8</v>
      </c>
      <c r="C199" s="89" t="s">
        <v>258</v>
      </c>
      <c r="D199" s="82"/>
      <c r="E199" s="80"/>
      <c r="F199" s="83"/>
      <c r="G199" s="83"/>
      <c r="H199" s="83"/>
      <c r="I199" s="83"/>
      <c r="J199" s="83"/>
      <c r="K199" s="83"/>
      <c r="L199" s="124"/>
      <c r="M199" s="124"/>
      <c r="O199" s="84"/>
      <c r="S199" s="57"/>
      <c r="T199" s="57"/>
    </row>
    <row r="200" spans="2:20" ht="22.5" customHeight="1">
      <c r="B200" s="80"/>
      <c r="C200" s="81" t="s">
        <v>252</v>
      </c>
      <c r="D200" s="82"/>
      <c r="E200" s="80" t="s">
        <v>31</v>
      </c>
      <c r="F200" s="83">
        <v>49</v>
      </c>
      <c r="G200" s="83">
        <v>130</v>
      </c>
      <c r="H200" s="83">
        <f aca="true" t="shared" si="29" ref="H200:H231">F200*G200</f>
        <v>6370</v>
      </c>
      <c r="I200" s="83">
        <v>50</v>
      </c>
      <c r="J200" s="83">
        <f aca="true" t="shared" si="30" ref="J200:J231">F200*I200</f>
        <v>2450</v>
      </c>
      <c r="K200" s="83">
        <f t="shared" si="28"/>
        <v>8820</v>
      </c>
      <c r="L200" s="124"/>
      <c r="M200" s="124"/>
      <c r="O200" s="84">
        <f t="shared" si="18"/>
        <v>8820</v>
      </c>
      <c r="S200" s="57"/>
      <c r="T200" s="57"/>
    </row>
    <row r="201" spans="2:20" ht="22.5" customHeight="1">
      <c r="B201" s="80"/>
      <c r="C201" s="81" t="s">
        <v>255</v>
      </c>
      <c r="D201" s="82"/>
      <c r="E201" s="80" t="s">
        <v>31</v>
      </c>
      <c r="F201" s="83">
        <v>410</v>
      </c>
      <c r="G201" s="83">
        <v>64</v>
      </c>
      <c r="H201" s="83">
        <f t="shared" si="29"/>
        <v>26240</v>
      </c>
      <c r="I201" s="83">
        <v>30</v>
      </c>
      <c r="J201" s="83">
        <f t="shared" si="30"/>
        <v>12300</v>
      </c>
      <c r="K201" s="83">
        <f>H201+J201</f>
        <v>38540</v>
      </c>
      <c r="L201" s="124"/>
      <c r="M201" s="124"/>
      <c r="O201" s="84">
        <f t="shared" si="18"/>
        <v>38540</v>
      </c>
      <c r="S201" s="57"/>
      <c r="T201" s="57"/>
    </row>
    <row r="202" spans="2:20" ht="22.5" customHeight="1">
      <c r="B202" s="80"/>
      <c r="C202" s="81" t="s">
        <v>259</v>
      </c>
      <c r="D202" s="82"/>
      <c r="E202" s="80" t="s">
        <v>31</v>
      </c>
      <c r="F202" s="83">
        <v>364</v>
      </c>
      <c r="G202" s="83">
        <v>39</v>
      </c>
      <c r="H202" s="83">
        <f t="shared" si="29"/>
        <v>14196</v>
      </c>
      <c r="I202" s="83">
        <v>30</v>
      </c>
      <c r="J202" s="83">
        <f t="shared" si="30"/>
        <v>10920</v>
      </c>
      <c r="K202" s="83">
        <f>H202+J202</f>
        <v>25116</v>
      </c>
      <c r="L202" s="124"/>
      <c r="M202" s="124"/>
      <c r="O202" s="84">
        <f t="shared" si="18"/>
        <v>25116</v>
      </c>
      <c r="S202" s="57"/>
      <c r="T202" s="57"/>
    </row>
    <row r="203" spans="2:20" ht="22.5" customHeight="1">
      <c r="B203" s="80"/>
      <c r="C203" s="81" t="s">
        <v>260</v>
      </c>
      <c r="D203" s="82"/>
      <c r="E203" s="80" t="s">
        <v>31</v>
      </c>
      <c r="F203" s="83">
        <v>107</v>
      </c>
      <c r="G203" s="83">
        <v>26</v>
      </c>
      <c r="H203" s="83">
        <f t="shared" si="29"/>
        <v>2782</v>
      </c>
      <c r="I203" s="83">
        <v>30</v>
      </c>
      <c r="J203" s="83">
        <f t="shared" si="30"/>
        <v>3210</v>
      </c>
      <c r="K203" s="83">
        <f>H203+J203</f>
        <v>5992</v>
      </c>
      <c r="L203" s="124"/>
      <c r="M203" s="124"/>
      <c r="O203" s="84">
        <f t="shared" si="18"/>
        <v>5992</v>
      </c>
      <c r="S203" s="57"/>
      <c r="T203" s="57"/>
    </row>
    <row r="204" spans="2:20" ht="22.5" customHeight="1">
      <c r="B204" s="105">
        <v>9</v>
      </c>
      <c r="C204" s="81" t="s">
        <v>413</v>
      </c>
      <c r="D204" s="82"/>
      <c r="E204" s="80" t="s">
        <v>52</v>
      </c>
      <c r="F204" s="83">
        <v>1</v>
      </c>
      <c r="G204" s="83">
        <f>SUM(H200:H203)*0.8</f>
        <v>39670.4</v>
      </c>
      <c r="H204" s="83">
        <f t="shared" si="29"/>
        <v>39670.4</v>
      </c>
      <c r="I204" s="83">
        <f>G204*0.3</f>
        <v>11901.12</v>
      </c>
      <c r="J204" s="83">
        <f t="shared" si="30"/>
        <v>11901.12</v>
      </c>
      <c r="K204" s="83">
        <f>H204+J204</f>
        <v>51571.520000000004</v>
      </c>
      <c r="L204" s="124"/>
      <c r="M204" s="124"/>
      <c r="O204" s="84">
        <f t="shared" si="18"/>
        <v>51571.520000000004</v>
      </c>
      <c r="S204" s="57"/>
      <c r="T204" s="57"/>
    </row>
    <row r="205" spans="2:20" ht="22.5" customHeight="1">
      <c r="B205" s="80">
        <v>10</v>
      </c>
      <c r="C205" s="81" t="s">
        <v>376</v>
      </c>
      <c r="D205" s="82"/>
      <c r="E205" s="80" t="s">
        <v>31</v>
      </c>
      <c r="F205" s="83">
        <v>80</v>
      </c>
      <c r="G205" s="83">
        <v>880</v>
      </c>
      <c r="H205" s="83">
        <f t="shared" si="29"/>
        <v>70400</v>
      </c>
      <c r="I205" s="83">
        <v>385</v>
      </c>
      <c r="J205" s="83">
        <f t="shared" si="30"/>
        <v>30800</v>
      </c>
      <c r="K205" s="83">
        <f>H205+J205</f>
        <v>101200</v>
      </c>
      <c r="L205" s="124"/>
      <c r="M205" s="124">
        <f>950+190</f>
        <v>1140</v>
      </c>
      <c r="N205" s="57">
        <f>350+35</f>
        <v>385</v>
      </c>
      <c r="O205" s="84">
        <f t="shared" si="18"/>
        <v>101200</v>
      </c>
      <c r="S205" s="57"/>
      <c r="T205" s="57"/>
    </row>
    <row r="206" spans="2:20" ht="22.5" customHeight="1">
      <c r="B206" s="80">
        <v>11</v>
      </c>
      <c r="C206" s="89" t="s">
        <v>261</v>
      </c>
      <c r="D206" s="82"/>
      <c r="E206" s="80"/>
      <c r="F206" s="83"/>
      <c r="G206" s="83"/>
      <c r="H206" s="83"/>
      <c r="I206" s="83"/>
      <c r="J206" s="83"/>
      <c r="K206" s="83"/>
      <c r="L206" s="124"/>
      <c r="M206" s="124"/>
      <c r="O206" s="84"/>
      <c r="S206" s="57"/>
      <c r="T206" s="57"/>
    </row>
    <row r="207" spans="2:20" ht="22.5" customHeight="1">
      <c r="B207" s="80"/>
      <c r="C207" s="81" t="s">
        <v>246</v>
      </c>
      <c r="D207" s="82"/>
      <c r="E207" s="80" t="s">
        <v>51</v>
      </c>
      <c r="F207" s="83">
        <v>2</v>
      </c>
      <c r="G207" s="83">
        <v>950</v>
      </c>
      <c r="H207" s="83">
        <f t="shared" si="29"/>
        <v>1900</v>
      </c>
      <c r="I207" s="83">
        <v>300</v>
      </c>
      <c r="J207" s="83">
        <f t="shared" si="30"/>
        <v>600</v>
      </c>
      <c r="K207" s="83">
        <f aca="true" t="shared" si="31" ref="K207:K227">H207+J207</f>
        <v>2500</v>
      </c>
      <c r="L207" s="124"/>
      <c r="M207" s="124"/>
      <c r="O207" s="84">
        <f t="shared" si="18"/>
        <v>2500</v>
      </c>
      <c r="S207" s="57"/>
      <c r="T207" s="57"/>
    </row>
    <row r="208" spans="2:20" ht="22.5" customHeight="1">
      <c r="B208" s="80"/>
      <c r="C208" s="81" t="s">
        <v>247</v>
      </c>
      <c r="D208" s="82"/>
      <c r="E208" s="80" t="s">
        <v>51</v>
      </c>
      <c r="F208" s="83">
        <v>4</v>
      </c>
      <c r="G208" s="83">
        <v>800</v>
      </c>
      <c r="H208" s="83">
        <f t="shared" si="29"/>
        <v>3200</v>
      </c>
      <c r="I208" s="83">
        <v>200</v>
      </c>
      <c r="J208" s="83">
        <f t="shared" si="30"/>
        <v>800</v>
      </c>
      <c r="K208" s="83">
        <f t="shared" si="31"/>
        <v>4000</v>
      </c>
      <c r="L208" s="124"/>
      <c r="M208" s="124"/>
      <c r="O208" s="84">
        <f t="shared" si="18"/>
        <v>4000</v>
      </c>
      <c r="S208" s="57"/>
      <c r="T208" s="57"/>
    </row>
    <row r="209" spans="2:20" ht="22.5" customHeight="1">
      <c r="B209" s="80">
        <v>12</v>
      </c>
      <c r="C209" s="89" t="s">
        <v>262</v>
      </c>
      <c r="D209" s="82"/>
      <c r="E209" s="80" t="s">
        <v>44</v>
      </c>
      <c r="F209" s="83">
        <v>40</v>
      </c>
      <c r="G209" s="83">
        <v>540</v>
      </c>
      <c r="H209" s="83">
        <f t="shared" si="29"/>
        <v>21600</v>
      </c>
      <c r="I209" s="83">
        <v>200</v>
      </c>
      <c r="J209" s="83">
        <f t="shared" si="30"/>
        <v>8000</v>
      </c>
      <c r="K209" s="83">
        <f t="shared" si="31"/>
        <v>29600</v>
      </c>
      <c r="L209" s="124"/>
      <c r="M209" s="124"/>
      <c r="O209" s="84">
        <f t="shared" si="18"/>
        <v>29600</v>
      </c>
      <c r="S209" s="57"/>
      <c r="T209" s="57"/>
    </row>
    <row r="210" spans="2:20" ht="22.5" customHeight="1">
      <c r="B210" s="80">
        <v>13</v>
      </c>
      <c r="C210" s="89" t="s">
        <v>263</v>
      </c>
      <c r="D210" s="82"/>
      <c r="E210" s="80" t="s">
        <v>44</v>
      </c>
      <c r="F210" s="83">
        <v>40</v>
      </c>
      <c r="G210" s="83">
        <v>600</v>
      </c>
      <c r="H210" s="83">
        <f t="shared" si="29"/>
        <v>24000</v>
      </c>
      <c r="I210" s="83">
        <v>200</v>
      </c>
      <c r="J210" s="83">
        <f t="shared" si="30"/>
        <v>8000</v>
      </c>
      <c r="K210" s="83">
        <f t="shared" si="31"/>
        <v>32000</v>
      </c>
      <c r="L210" s="124"/>
      <c r="M210" s="124"/>
      <c r="O210" s="84">
        <f t="shared" si="18"/>
        <v>32000</v>
      </c>
      <c r="S210" s="57"/>
      <c r="T210" s="57"/>
    </row>
    <row r="211" spans="2:20" ht="22.5" customHeight="1">
      <c r="B211" s="80">
        <v>14</v>
      </c>
      <c r="C211" s="89" t="s">
        <v>264</v>
      </c>
      <c r="D211" s="82"/>
      <c r="E211" s="80"/>
      <c r="F211" s="83"/>
      <c r="G211" s="83"/>
      <c r="H211" s="83"/>
      <c r="I211" s="83"/>
      <c r="J211" s="83"/>
      <c r="K211" s="83"/>
      <c r="L211" s="124"/>
      <c r="M211" s="124"/>
      <c r="O211" s="84"/>
      <c r="S211" s="57"/>
      <c r="T211" s="57"/>
    </row>
    <row r="212" spans="2:20" ht="22.5" customHeight="1">
      <c r="B212" s="80"/>
      <c r="C212" s="81" t="s">
        <v>246</v>
      </c>
      <c r="D212" s="82"/>
      <c r="E212" s="80" t="s">
        <v>44</v>
      </c>
      <c r="F212" s="83">
        <v>2</v>
      </c>
      <c r="G212" s="83">
        <v>400</v>
      </c>
      <c r="H212" s="83">
        <f t="shared" si="29"/>
        <v>800</v>
      </c>
      <c r="I212" s="83">
        <v>300</v>
      </c>
      <c r="J212" s="83">
        <f t="shared" si="30"/>
        <v>600</v>
      </c>
      <c r="K212" s="83">
        <f t="shared" si="31"/>
        <v>1400</v>
      </c>
      <c r="L212" s="124"/>
      <c r="M212" s="124"/>
      <c r="O212" s="84">
        <f t="shared" si="18"/>
        <v>1400</v>
      </c>
      <c r="S212" s="57"/>
      <c r="T212" s="57"/>
    </row>
    <row r="213" spans="2:20" ht="22.5" customHeight="1">
      <c r="B213" s="80"/>
      <c r="C213" s="81" t="s">
        <v>249</v>
      </c>
      <c r="D213" s="82"/>
      <c r="E213" s="80" t="s">
        <v>44</v>
      </c>
      <c r="F213" s="83">
        <v>2</v>
      </c>
      <c r="G213" s="83">
        <v>170</v>
      </c>
      <c r="H213" s="83">
        <f t="shared" si="29"/>
        <v>340</v>
      </c>
      <c r="I213" s="83">
        <v>150</v>
      </c>
      <c r="J213" s="83">
        <f t="shared" si="30"/>
        <v>300</v>
      </c>
      <c r="K213" s="83">
        <f t="shared" si="31"/>
        <v>640</v>
      </c>
      <c r="L213" s="124"/>
      <c r="M213" s="124"/>
      <c r="O213" s="84">
        <f t="shared" si="18"/>
        <v>640</v>
      </c>
      <c r="S213" s="57"/>
      <c r="T213" s="57"/>
    </row>
    <row r="214" spans="2:20" ht="22.5" customHeight="1">
      <c r="B214" s="80">
        <v>15</v>
      </c>
      <c r="C214" s="89" t="s">
        <v>265</v>
      </c>
      <c r="D214" s="82"/>
      <c r="E214" s="80" t="s">
        <v>44</v>
      </c>
      <c r="F214" s="83">
        <v>4</v>
      </c>
      <c r="G214" s="83">
        <v>605</v>
      </c>
      <c r="H214" s="83">
        <f t="shared" si="29"/>
        <v>2420</v>
      </c>
      <c r="I214" s="83">
        <v>150</v>
      </c>
      <c r="J214" s="83">
        <f t="shared" si="30"/>
        <v>600</v>
      </c>
      <c r="K214" s="83">
        <f t="shared" si="31"/>
        <v>3020</v>
      </c>
      <c r="L214" s="124"/>
      <c r="M214" s="124"/>
      <c r="O214" s="84">
        <f t="shared" si="18"/>
        <v>3020</v>
      </c>
      <c r="S214" s="57"/>
      <c r="T214" s="57"/>
    </row>
    <row r="215" spans="2:20" ht="22.5" customHeight="1">
      <c r="B215" s="80"/>
      <c r="C215" s="89"/>
      <c r="D215" s="82"/>
      <c r="E215" s="80"/>
      <c r="F215" s="83"/>
      <c r="G215" s="83"/>
      <c r="H215" s="83"/>
      <c r="I215" s="83"/>
      <c r="J215" s="83"/>
      <c r="K215" s="83"/>
      <c r="L215" s="124"/>
      <c r="M215" s="124"/>
      <c r="O215" s="84"/>
      <c r="S215" s="57"/>
      <c r="T215" s="57"/>
    </row>
    <row r="216" spans="2:20" ht="22.5" customHeight="1">
      <c r="B216" s="80">
        <v>16</v>
      </c>
      <c r="C216" s="89" t="s">
        <v>266</v>
      </c>
      <c r="D216" s="82"/>
      <c r="E216" s="80" t="s">
        <v>44</v>
      </c>
      <c r="F216" s="83">
        <v>8</v>
      </c>
      <c r="G216" s="83">
        <v>595</v>
      </c>
      <c r="H216" s="83">
        <f t="shared" si="29"/>
        <v>4760</v>
      </c>
      <c r="I216" s="83">
        <v>300</v>
      </c>
      <c r="J216" s="83">
        <f t="shared" si="30"/>
        <v>2400</v>
      </c>
      <c r="K216" s="83">
        <f t="shared" si="31"/>
        <v>7160</v>
      </c>
      <c r="L216" s="124"/>
      <c r="M216" s="124"/>
      <c r="O216" s="84">
        <f t="shared" si="18"/>
        <v>7160</v>
      </c>
      <c r="S216" s="57"/>
      <c r="T216" s="57"/>
    </row>
    <row r="217" spans="2:20" ht="22.5" customHeight="1">
      <c r="B217" s="80">
        <v>17</v>
      </c>
      <c r="C217" s="89" t="s">
        <v>267</v>
      </c>
      <c r="D217" s="82"/>
      <c r="E217" s="80" t="s">
        <v>44</v>
      </c>
      <c r="F217" s="83">
        <v>1</v>
      </c>
      <c r="G217" s="304">
        <v>22260</v>
      </c>
      <c r="H217" s="83">
        <f t="shared" si="29"/>
        <v>22260</v>
      </c>
      <c r="I217" s="83">
        <v>200</v>
      </c>
      <c r="J217" s="83">
        <f t="shared" si="30"/>
        <v>200</v>
      </c>
      <c r="K217" s="83">
        <f t="shared" si="31"/>
        <v>22460</v>
      </c>
      <c r="L217" s="124"/>
      <c r="M217" s="124"/>
      <c r="O217" s="84">
        <f t="shared" si="18"/>
        <v>22460</v>
      </c>
      <c r="S217" s="57"/>
      <c r="T217" s="57"/>
    </row>
    <row r="218" spans="2:20" ht="22.5" customHeight="1">
      <c r="B218" s="80">
        <v>18</v>
      </c>
      <c r="C218" s="89" t="s">
        <v>268</v>
      </c>
      <c r="D218" s="82"/>
      <c r="E218" s="80" t="s">
        <v>44</v>
      </c>
      <c r="F218" s="83">
        <v>2</v>
      </c>
      <c r="G218" s="83">
        <v>1400</v>
      </c>
      <c r="H218" s="83">
        <f t="shared" si="29"/>
        <v>2800</v>
      </c>
      <c r="I218" s="83">
        <v>400</v>
      </c>
      <c r="J218" s="83">
        <f t="shared" si="30"/>
        <v>800</v>
      </c>
      <c r="K218" s="83">
        <f t="shared" si="31"/>
        <v>3600</v>
      </c>
      <c r="L218" s="124"/>
      <c r="M218" s="124"/>
      <c r="O218" s="84">
        <f aca="true" t="shared" si="32" ref="O218:O288">F218*(G218+I218)</f>
        <v>3600</v>
      </c>
      <c r="S218" s="57"/>
      <c r="T218" s="57"/>
    </row>
    <row r="219" spans="2:15" ht="22.5" customHeight="1">
      <c r="B219" s="80">
        <v>19</v>
      </c>
      <c r="C219" s="89" t="s">
        <v>269</v>
      </c>
      <c r="D219" s="82"/>
      <c r="E219" s="80" t="s">
        <v>44</v>
      </c>
      <c r="F219" s="83">
        <v>2</v>
      </c>
      <c r="G219" s="83">
        <v>2940</v>
      </c>
      <c r="H219" s="83">
        <f t="shared" si="29"/>
        <v>5880</v>
      </c>
      <c r="I219" s="83">
        <v>400</v>
      </c>
      <c r="J219" s="83">
        <f t="shared" si="30"/>
        <v>800</v>
      </c>
      <c r="K219" s="83">
        <f t="shared" si="31"/>
        <v>6680</v>
      </c>
      <c r="L219" s="124"/>
      <c r="M219" s="124"/>
      <c r="O219" s="84">
        <f t="shared" si="32"/>
        <v>6680</v>
      </c>
    </row>
    <row r="220" spans="2:15" ht="22.5" customHeight="1">
      <c r="B220" s="80">
        <v>20</v>
      </c>
      <c r="C220" s="89" t="s">
        <v>270</v>
      </c>
      <c r="D220" s="82"/>
      <c r="E220" s="80" t="s">
        <v>44</v>
      </c>
      <c r="F220" s="83">
        <v>2</v>
      </c>
      <c r="G220" s="83">
        <v>2780</v>
      </c>
      <c r="H220" s="83">
        <f t="shared" si="29"/>
        <v>5560</v>
      </c>
      <c r="I220" s="83">
        <v>400</v>
      </c>
      <c r="J220" s="83">
        <f t="shared" si="30"/>
        <v>800</v>
      </c>
      <c r="K220" s="83">
        <f t="shared" si="31"/>
        <v>6360</v>
      </c>
      <c r="L220" s="124"/>
      <c r="M220" s="124"/>
      <c r="O220" s="84">
        <f t="shared" si="32"/>
        <v>6360</v>
      </c>
    </row>
    <row r="221" spans="2:15" ht="22.5" customHeight="1">
      <c r="B221" s="80">
        <v>21</v>
      </c>
      <c r="C221" s="89" t="s">
        <v>271</v>
      </c>
      <c r="D221" s="82"/>
      <c r="E221" s="80" t="s">
        <v>44</v>
      </c>
      <c r="F221" s="83">
        <v>4</v>
      </c>
      <c r="G221" s="83">
        <v>1170</v>
      </c>
      <c r="H221" s="83">
        <f t="shared" si="29"/>
        <v>4680</v>
      </c>
      <c r="I221" s="83">
        <v>400</v>
      </c>
      <c r="J221" s="83">
        <f t="shared" si="30"/>
        <v>1600</v>
      </c>
      <c r="K221" s="83">
        <f t="shared" si="31"/>
        <v>6280</v>
      </c>
      <c r="L221" s="124"/>
      <c r="M221" s="124"/>
      <c r="O221" s="84">
        <f t="shared" si="32"/>
        <v>6280</v>
      </c>
    </row>
    <row r="222" spans="2:15" ht="22.5" customHeight="1">
      <c r="B222" s="80">
        <v>22</v>
      </c>
      <c r="C222" s="89" t="s">
        <v>272</v>
      </c>
      <c r="D222" s="82"/>
      <c r="E222" s="80" t="s">
        <v>44</v>
      </c>
      <c r="F222" s="83">
        <v>4</v>
      </c>
      <c r="G222" s="83">
        <v>2200</v>
      </c>
      <c r="H222" s="83">
        <f t="shared" si="29"/>
        <v>8800</v>
      </c>
      <c r="I222" s="83">
        <v>800</v>
      </c>
      <c r="J222" s="83">
        <f t="shared" si="30"/>
        <v>3200</v>
      </c>
      <c r="K222" s="83">
        <f t="shared" si="31"/>
        <v>12000</v>
      </c>
      <c r="L222" s="124"/>
      <c r="M222" s="124"/>
      <c r="O222" s="84">
        <f t="shared" si="32"/>
        <v>12000</v>
      </c>
    </row>
    <row r="223" spans="2:15" ht="22.5" customHeight="1">
      <c r="B223" s="80">
        <v>23</v>
      </c>
      <c r="C223" s="81" t="s">
        <v>53</v>
      </c>
      <c r="D223" s="82"/>
      <c r="E223" s="80" t="s">
        <v>44</v>
      </c>
      <c r="F223" s="83">
        <v>2</v>
      </c>
      <c r="G223" s="83">
        <v>4500</v>
      </c>
      <c r="H223" s="83">
        <f t="shared" si="29"/>
        <v>9000</v>
      </c>
      <c r="I223" s="83">
        <v>150</v>
      </c>
      <c r="J223" s="83">
        <f t="shared" si="30"/>
        <v>300</v>
      </c>
      <c r="K223" s="83">
        <f t="shared" si="31"/>
        <v>9300</v>
      </c>
      <c r="L223" s="124"/>
      <c r="M223" s="124"/>
      <c r="O223" s="84">
        <f t="shared" si="32"/>
        <v>9300</v>
      </c>
    </row>
    <row r="224" spans="2:15" ht="22.5" customHeight="1">
      <c r="B224" s="80">
        <v>24</v>
      </c>
      <c r="C224" s="89" t="s">
        <v>273</v>
      </c>
      <c r="D224" s="82"/>
      <c r="E224" s="80" t="s">
        <v>44</v>
      </c>
      <c r="F224" s="83">
        <v>2</v>
      </c>
      <c r="G224" s="83">
        <v>637</v>
      </c>
      <c r="H224" s="83">
        <f t="shared" si="29"/>
        <v>1274</v>
      </c>
      <c r="I224" s="83">
        <v>500</v>
      </c>
      <c r="J224" s="83">
        <f t="shared" si="30"/>
        <v>1000</v>
      </c>
      <c r="K224" s="83">
        <f t="shared" si="31"/>
        <v>2274</v>
      </c>
      <c r="L224" s="124"/>
      <c r="M224" s="124"/>
      <c r="O224" s="84">
        <f t="shared" si="32"/>
        <v>2274</v>
      </c>
    </row>
    <row r="225" spans="2:15" ht="22.5" customHeight="1">
      <c r="B225" s="80">
        <v>25</v>
      </c>
      <c r="C225" s="89" t="s">
        <v>274</v>
      </c>
      <c r="D225" s="82"/>
      <c r="E225" s="80" t="s">
        <v>44</v>
      </c>
      <c r="F225" s="83">
        <v>4</v>
      </c>
      <c r="G225" s="83">
        <v>250</v>
      </c>
      <c r="H225" s="83">
        <f t="shared" si="29"/>
        <v>1000</v>
      </c>
      <c r="I225" s="83">
        <v>50</v>
      </c>
      <c r="J225" s="83">
        <f t="shared" si="30"/>
        <v>200</v>
      </c>
      <c r="K225" s="83">
        <f t="shared" si="31"/>
        <v>1200</v>
      </c>
      <c r="L225" s="124"/>
      <c r="M225" s="124"/>
      <c r="O225" s="84">
        <f t="shared" si="32"/>
        <v>1200</v>
      </c>
    </row>
    <row r="226" spans="2:15" ht="22.5" customHeight="1">
      <c r="B226" s="80">
        <v>26</v>
      </c>
      <c r="C226" s="89" t="s">
        <v>275</v>
      </c>
      <c r="D226" s="82"/>
      <c r="E226" s="80" t="s">
        <v>54</v>
      </c>
      <c r="F226" s="83">
        <v>20</v>
      </c>
      <c r="G226" s="83">
        <v>1078</v>
      </c>
      <c r="H226" s="83">
        <f t="shared" si="29"/>
        <v>21560</v>
      </c>
      <c r="I226" s="83">
        <v>150</v>
      </c>
      <c r="J226" s="83">
        <f t="shared" si="30"/>
        <v>3000</v>
      </c>
      <c r="K226" s="83">
        <f t="shared" si="31"/>
        <v>24560</v>
      </c>
      <c r="L226" s="124"/>
      <c r="M226" s="124"/>
      <c r="O226" s="84">
        <f t="shared" si="32"/>
        <v>24560</v>
      </c>
    </row>
    <row r="227" spans="2:15" ht="22.5" customHeight="1">
      <c r="B227" s="80">
        <v>27</v>
      </c>
      <c r="C227" s="89" t="s">
        <v>276</v>
      </c>
      <c r="D227" s="82"/>
      <c r="E227" s="80" t="s">
        <v>44</v>
      </c>
      <c r="F227" s="83">
        <v>23</v>
      </c>
      <c r="G227" s="83">
        <v>455</v>
      </c>
      <c r="H227" s="83">
        <f t="shared" si="29"/>
        <v>10465</v>
      </c>
      <c r="I227" s="83">
        <v>200</v>
      </c>
      <c r="J227" s="83">
        <f t="shared" si="30"/>
        <v>4600</v>
      </c>
      <c r="K227" s="83">
        <f t="shared" si="31"/>
        <v>15065</v>
      </c>
      <c r="L227" s="124"/>
      <c r="M227" s="305"/>
      <c r="N227" s="305"/>
      <c r="O227" s="84">
        <f t="shared" si="32"/>
        <v>15065</v>
      </c>
    </row>
    <row r="228" spans="2:15" ht="22.5" customHeight="1">
      <c r="B228" s="80">
        <v>28</v>
      </c>
      <c r="C228" s="89" t="s">
        <v>277</v>
      </c>
      <c r="D228" s="82"/>
      <c r="E228" s="80"/>
      <c r="F228" s="83"/>
      <c r="G228" s="83"/>
      <c r="H228" s="83"/>
      <c r="I228" s="83"/>
      <c r="J228" s="83"/>
      <c r="K228" s="83"/>
      <c r="L228" s="124"/>
      <c r="M228" s="307"/>
      <c r="N228" s="307"/>
      <c r="O228" s="84"/>
    </row>
    <row r="229" spans="2:15" ht="22.5" customHeight="1">
      <c r="B229" s="80"/>
      <c r="C229" s="81" t="s">
        <v>250</v>
      </c>
      <c r="D229" s="82"/>
      <c r="E229" s="80" t="s">
        <v>44</v>
      </c>
      <c r="F229" s="83">
        <v>1</v>
      </c>
      <c r="G229" s="83">
        <v>2380</v>
      </c>
      <c r="H229" s="83">
        <f t="shared" si="29"/>
        <v>2380</v>
      </c>
      <c r="I229" s="83">
        <v>500</v>
      </c>
      <c r="J229" s="83">
        <f t="shared" si="30"/>
        <v>500</v>
      </c>
      <c r="K229" s="83">
        <f aca="true" t="shared" si="33" ref="K229:K234">H229+J229</f>
        <v>2880</v>
      </c>
      <c r="L229" s="124"/>
      <c r="M229" s="307"/>
      <c r="N229" s="307"/>
      <c r="O229" s="84">
        <f t="shared" si="32"/>
        <v>2880</v>
      </c>
    </row>
    <row r="230" spans="2:15" ht="22.5" customHeight="1">
      <c r="B230" s="80"/>
      <c r="C230" s="81" t="s">
        <v>251</v>
      </c>
      <c r="D230" s="82"/>
      <c r="E230" s="80" t="s">
        <v>44</v>
      </c>
      <c r="F230" s="83">
        <v>2</v>
      </c>
      <c r="G230" s="83">
        <v>1048</v>
      </c>
      <c r="H230" s="83">
        <f t="shared" si="29"/>
        <v>2096</v>
      </c>
      <c r="I230" s="83">
        <v>400</v>
      </c>
      <c r="J230" s="83">
        <f t="shared" si="30"/>
        <v>800</v>
      </c>
      <c r="K230" s="83">
        <f t="shared" si="33"/>
        <v>2896</v>
      </c>
      <c r="L230" s="124"/>
      <c r="M230" s="305"/>
      <c r="N230" s="306"/>
      <c r="O230" s="84">
        <f t="shared" si="32"/>
        <v>2896</v>
      </c>
    </row>
    <row r="231" spans="2:15" ht="22.5" customHeight="1">
      <c r="B231" s="80">
        <v>29</v>
      </c>
      <c r="C231" s="89" t="s">
        <v>278</v>
      </c>
      <c r="D231" s="82"/>
      <c r="E231" s="80" t="s">
        <v>44</v>
      </c>
      <c r="F231" s="83">
        <v>4</v>
      </c>
      <c r="G231" s="83">
        <v>1391</v>
      </c>
      <c r="H231" s="83">
        <f t="shared" si="29"/>
        <v>5564</v>
      </c>
      <c r="I231" s="83">
        <v>400</v>
      </c>
      <c r="J231" s="83">
        <f t="shared" si="30"/>
        <v>1600</v>
      </c>
      <c r="K231" s="83">
        <f t="shared" si="33"/>
        <v>7164</v>
      </c>
      <c r="L231" s="124"/>
      <c r="M231" s="305"/>
      <c r="N231" s="306"/>
      <c r="O231" s="84">
        <f t="shared" si="32"/>
        <v>7164</v>
      </c>
    </row>
    <row r="232" spans="2:15" ht="22.5" customHeight="1">
      <c r="B232" s="80">
        <v>30</v>
      </c>
      <c r="C232" s="81" t="s">
        <v>56</v>
      </c>
      <c r="D232" s="82"/>
      <c r="E232" s="80" t="s">
        <v>54</v>
      </c>
      <c r="F232" s="83">
        <v>6</v>
      </c>
      <c r="G232" s="83">
        <v>1589</v>
      </c>
      <c r="H232" s="83">
        <f>F232*G232</f>
        <v>9534</v>
      </c>
      <c r="I232" s="83">
        <v>70</v>
      </c>
      <c r="J232" s="83">
        <f>F232*I232</f>
        <v>420</v>
      </c>
      <c r="K232" s="83">
        <f t="shared" si="33"/>
        <v>9954</v>
      </c>
      <c r="L232" s="124"/>
      <c r="M232" s="124"/>
      <c r="O232" s="84">
        <f t="shared" si="32"/>
        <v>9954</v>
      </c>
    </row>
    <row r="233" spans="2:15" ht="22.5" customHeight="1">
      <c r="B233" s="80">
        <v>31</v>
      </c>
      <c r="C233" s="81" t="s">
        <v>57</v>
      </c>
      <c r="D233" s="82"/>
      <c r="E233" s="80" t="s">
        <v>55</v>
      </c>
      <c r="F233" s="83">
        <v>2</v>
      </c>
      <c r="G233" s="304">
        <v>26100</v>
      </c>
      <c r="H233" s="304">
        <f>F233*G233</f>
        <v>52200</v>
      </c>
      <c r="I233" s="304">
        <v>10000</v>
      </c>
      <c r="J233" s="83">
        <f>F233*I233</f>
        <v>20000</v>
      </c>
      <c r="K233" s="83">
        <f t="shared" si="33"/>
        <v>72200</v>
      </c>
      <c r="L233" s="124"/>
      <c r="M233" s="124"/>
      <c r="O233" s="84">
        <f t="shared" si="32"/>
        <v>72200</v>
      </c>
    </row>
    <row r="234" spans="2:15" ht="22.5" customHeight="1">
      <c r="B234" s="80">
        <v>32</v>
      </c>
      <c r="C234" s="81" t="s">
        <v>58</v>
      </c>
      <c r="D234" s="82"/>
      <c r="E234" s="80" t="s">
        <v>55</v>
      </c>
      <c r="F234" s="83">
        <v>2</v>
      </c>
      <c r="G234" s="304">
        <v>65000</v>
      </c>
      <c r="H234" s="304">
        <f>F234*G234</f>
        <v>130000</v>
      </c>
      <c r="I234" s="304">
        <v>10000</v>
      </c>
      <c r="J234" s="83">
        <f>F234*I234</f>
        <v>20000</v>
      </c>
      <c r="K234" s="83">
        <f t="shared" si="33"/>
        <v>150000</v>
      </c>
      <c r="L234" s="124"/>
      <c r="M234" s="124"/>
      <c r="O234" s="84">
        <f t="shared" si="32"/>
        <v>150000</v>
      </c>
    </row>
    <row r="235" spans="2:15" ht="22.5" customHeight="1">
      <c r="B235" s="80">
        <v>33</v>
      </c>
      <c r="C235" s="81" t="s">
        <v>59</v>
      </c>
      <c r="D235" s="82"/>
      <c r="E235" s="75"/>
      <c r="F235" s="83"/>
      <c r="G235" s="304"/>
      <c r="H235" s="308" t="s">
        <v>2</v>
      </c>
      <c r="I235" s="304"/>
      <c r="J235" s="91" t="s">
        <v>2</v>
      </c>
      <c r="K235" s="91" t="s">
        <v>2</v>
      </c>
      <c r="L235" s="126"/>
      <c r="M235" s="126"/>
      <c r="O235" s="84">
        <f t="shared" si="32"/>
        <v>0</v>
      </c>
    </row>
    <row r="236" spans="2:15" ht="22.5" customHeight="1">
      <c r="B236" s="80"/>
      <c r="C236" s="81" t="s">
        <v>60</v>
      </c>
      <c r="D236" s="82"/>
      <c r="E236" s="80" t="s">
        <v>54</v>
      </c>
      <c r="F236" s="83">
        <v>2</v>
      </c>
      <c r="G236" s="304">
        <v>48000</v>
      </c>
      <c r="H236" s="304">
        <f>F236*G236</f>
        <v>96000</v>
      </c>
      <c r="I236" s="304">
        <v>6000</v>
      </c>
      <c r="J236" s="83">
        <f>F236*I236</f>
        <v>12000</v>
      </c>
      <c r="K236" s="83">
        <f>H236+J236</f>
        <v>108000</v>
      </c>
      <c r="L236" s="124"/>
      <c r="M236" s="124"/>
      <c r="O236" s="84">
        <f t="shared" si="32"/>
        <v>108000</v>
      </c>
    </row>
    <row r="237" spans="2:15" ht="22.5" customHeight="1">
      <c r="B237" s="80">
        <v>34</v>
      </c>
      <c r="C237" s="428" t="s">
        <v>446</v>
      </c>
      <c r="D237" s="82"/>
      <c r="E237" s="80" t="s">
        <v>54</v>
      </c>
      <c r="F237" s="83">
        <v>1</v>
      </c>
      <c r="G237" s="304">
        <v>40000</v>
      </c>
      <c r="H237" s="304">
        <f>F237*G237</f>
        <v>40000</v>
      </c>
      <c r="I237" s="304">
        <v>3000</v>
      </c>
      <c r="J237" s="83">
        <f>F237*I237</f>
        <v>3000</v>
      </c>
      <c r="K237" s="83">
        <f>H237+J237</f>
        <v>43000</v>
      </c>
      <c r="L237" s="124"/>
      <c r="M237" s="124"/>
      <c r="O237" s="84">
        <f t="shared" si="32"/>
        <v>43000</v>
      </c>
    </row>
    <row r="238" spans="2:15" ht="22.5" customHeight="1">
      <c r="B238" s="80">
        <v>35</v>
      </c>
      <c r="C238" s="81" t="s">
        <v>61</v>
      </c>
      <c r="D238" s="82"/>
      <c r="E238" s="80" t="s">
        <v>62</v>
      </c>
      <c r="F238" s="83">
        <v>2</v>
      </c>
      <c r="G238" s="304">
        <v>4000</v>
      </c>
      <c r="H238" s="304">
        <f>F238*G238</f>
        <v>8000</v>
      </c>
      <c r="I238" s="304">
        <v>1000</v>
      </c>
      <c r="J238" s="83">
        <f>F238*I238</f>
        <v>2000</v>
      </c>
      <c r="K238" s="83">
        <f>H238+J238</f>
        <v>10000</v>
      </c>
      <c r="L238" s="124"/>
      <c r="M238" s="124"/>
      <c r="O238" s="84">
        <f t="shared" si="32"/>
        <v>10000</v>
      </c>
    </row>
    <row r="239" spans="2:15" ht="22.5" customHeight="1">
      <c r="B239" s="80">
        <v>36</v>
      </c>
      <c r="C239" s="81" t="s">
        <v>63</v>
      </c>
      <c r="D239" s="82"/>
      <c r="E239" s="80" t="s">
        <v>52</v>
      </c>
      <c r="F239" s="83">
        <v>1</v>
      </c>
      <c r="G239" s="304">
        <v>6500</v>
      </c>
      <c r="H239" s="304">
        <f>F239*G239</f>
        <v>6500</v>
      </c>
      <c r="I239" s="304">
        <v>2000</v>
      </c>
      <c r="J239" s="83">
        <f>F239*I239</f>
        <v>2000</v>
      </c>
      <c r="K239" s="83">
        <f>H239+J239</f>
        <v>8500</v>
      </c>
      <c r="L239" s="124"/>
      <c r="M239" s="124"/>
      <c r="O239" s="84">
        <f t="shared" si="32"/>
        <v>8500</v>
      </c>
    </row>
    <row r="240" spans="2:15" ht="22.5" customHeight="1">
      <c r="B240" s="80"/>
      <c r="C240" s="81"/>
      <c r="D240" s="82"/>
      <c r="E240" s="80"/>
      <c r="F240" s="83"/>
      <c r="G240" s="83"/>
      <c r="H240" s="83"/>
      <c r="I240" s="83"/>
      <c r="J240" s="83"/>
      <c r="K240" s="83"/>
      <c r="L240" s="124"/>
      <c r="M240" s="124"/>
      <c r="O240" s="84">
        <f t="shared" si="32"/>
        <v>0</v>
      </c>
    </row>
    <row r="241" spans="2:15" ht="22.5" customHeight="1">
      <c r="B241" s="105"/>
      <c r="C241" s="500" t="s">
        <v>279</v>
      </c>
      <c r="D241" s="501"/>
      <c r="E241" s="93"/>
      <c r="F241" s="94"/>
      <c r="G241" s="94"/>
      <c r="H241" s="94">
        <f>SUM(H179:H240)</f>
        <v>803412.8</v>
      </c>
      <c r="I241" s="94"/>
      <c r="J241" s="94">
        <f>SUM(J179:J240)</f>
        <v>249358.64</v>
      </c>
      <c r="K241" s="94">
        <f>SUM(K179:K240)</f>
        <v>1052771.44</v>
      </c>
      <c r="L241" s="127"/>
      <c r="M241" s="127"/>
      <c r="O241" s="84">
        <f t="shared" si="32"/>
        <v>0</v>
      </c>
    </row>
    <row r="242" spans="2:15" ht="22.5" customHeight="1">
      <c r="B242" s="105"/>
      <c r="C242" s="107"/>
      <c r="D242" s="82"/>
      <c r="E242" s="93"/>
      <c r="F242" s="94"/>
      <c r="G242" s="94"/>
      <c r="H242" s="94"/>
      <c r="I242" s="94"/>
      <c r="J242" s="94"/>
      <c r="K242" s="94"/>
      <c r="L242" s="127"/>
      <c r="M242" s="127"/>
      <c r="O242" s="84"/>
    </row>
    <row r="243" spans="2:15" ht="22.5" customHeight="1">
      <c r="B243" s="105"/>
      <c r="C243" s="107"/>
      <c r="D243" s="82"/>
      <c r="E243" s="93"/>
      <c r="F243" s="94"/>
      <c r="G243" s="94"/>
      <c r="H243" s="94"/>
      <c r="I243" s="94"/>
      <c r="J243" s="94"/>
      <c r="K243" s="94"/>
      <c r="L243" s="127"/>
      <c r="M243" s="127"/>
      <c r="O243" s="84"/>
    </row>
    <row r="244" spans="2:15" ht="22.5" customHeight="1">
      <c r="B244" s="80"/>
      <c r="C244" s="118" t="s">
        <v>280</v>
      </c>
      <c r="D244" s="74"/>
      <c r="E244" s="75"/>
      <c r="F244" s="83"/>
      <c r="G244" s="83"/>
      <c r="H244" s="91" t="s">
        <v>2</v>
      </c>
      <c r="I244" s="83"/>
      <c r="J244" s="91" t="s">
        <v>2</v>
      </c>
      <c r="K244" s="91" t="s">
        <v>2</v>
      </c>
      <c r="L244" s="126"/>
      <c r="M244" s="126"/>
      <c r="O244" s="84">
        <f t="shared" si="32"/>
        <v>0</v>
      </c>
    </row>
    <row r="245" spans="2:15" ht="22.5" customHeight="1">
      <c r="B245" s="80"/>
      <c r="C245" s="118" t="s">
        <v>298</v>
      </c>
      <c r="D245" s="74"/>
      <c r="E245" s="75"/>
      <c r="F245" s="83"/>
      <c r="G245" s="83"/>
      <c r="H245" s="91"/>
      <c r="I245" s="83"/>
      <c r="J245" s="91"/>
      <c r="K245" s="91"/>
      <c r="L245" s="126"/>
      <c r="M245" s="126"/>
      <c r="O245" s="84"/>
    </row>
    <row r="246" spans="2:15" ht="22.5" customHeight="1">
      <c r="B246" s="80">
        <v>1</v>
      </c>
      <c r="C246" s="81" t="s">
        <v>281</v>
      </c>
      <c r="D246" s="74"/>
      <c r="E246" s="75"/>
      <c r="F246" s="83"/>
      <c r="G246" s="83"/>
      <c r="H246" s="91"/>
      <c r="I246" s="83"/>
      <c r="J246" s="91"/>
      <c r="K246" s="91"/>
      <c r="L246" s="126"/>
      <c r="M246" s="126"/>
      <c r="O246" s="84"/>
    </row>
    <row r="247" spans="2:15" ht="22.5" customHeight="1">
      <c r="B247" s="80"/>
      <c r="C247" s="81" t="s">
        <v>402</v>
      </c>
      <c r="D247" s="82"/>
      <c r="E247" s="80" t="s">
        <v>44</v>
      </c>
      <c r="F247" s="83">
        <v>40</v>
      </c>
      <c r="G247" s="304">
        <v>540</v>
      </c>
      <c r="H247" s="83">
        <f aca="true" t="shared" si="34" ref="H247:H282">F247*G247</f>
        <v>21600</v>
      </c>
      <c r="I247" s="304">
        <v>115</v>
      </c>
      <c r="J247" s="83">
        <f aca="true" t="shared" si="35" ref="J247:J282">F247*I247</f>
        <v>4600</v>
      </c>
      <c r="K247" s="83">
        <f aca="true" t="shared" si="36" ref="K247:K262">H247+J247</f>
        <v>26200</v>
      </c>
      <c r="L247" s="124"/>
      <c r="M247" s="124"/>
      <c r="O247" s="84">
        <f t="shared" si="32"/>
        <v>26200</v>
      </c>
    </row>
    <row r="248" spans="2:15" ht="22.5" customHeight="1">
      <c r="B248" s="80"/>
      <c r="C248" s="81" t="s">
        <v>403</v>
      </c>
      <c r="D248" s="82"/>
      <c r="E248" s="80" t="s">
        <v>44</v>
      </c>
      <c r="F248" s="83">
        <v>83</v>
      </c>
      <c r="G248" s="304">
        <v>630</v>
      </c>
      <c r="H248" s="83">
        <f t="shared" si="34"/>
        <v>52290</v>
      </c>
      <c r="I248" s="304">
        <v>115</v>
      </c>
      <c r="J248" s="83">
        <f t="shared" si="35"/>
        <v>9545</v>
      </c>
      <c r="K248" s="83">
        <f t="shared" si="36"/>
        <v>61835</v>
      </c>
      <c r="L248" s="124"/>
      <c r="M248" s="124"/>
      <c r="O248" s="84">
        <f t="shared" si="32"/>
        <v>61835</v>
      </c>
    </row>
    <row r="249" spans="2:15" ht="22.5" customHeight="1">
      <c r="B249" s="80"/>
      <c r="C249" s="81" t="s">
        <v>404</v>
      </c>
      <c r="D249" s="82"/>
      <c r="E249" s="80" t="s">
        <v>44</v>
      </c>
      <c r="F249" s="83">
        <v>20</v>
      </c>
      <c r="G249" s="304">
        <v>825</v>
      </c>
      <c r="H249" s="83">
        <f t="shared" si="34"/>
        <v>16500</v>
      </c>
      <c r="I249" s="304">
        <v>115</v>
      </c>
      <c r="J249" s="83">
        <f t="shared" si="35"/>
        <v>2300</v>
      </c>
      <c r="K249" s="83">
        <f t="shared" si="36"/>
        <v>18800</v>
      </c>
      <c r="L249" s="124"/>
      <c r="M249" s="124"/>
      <c r="O249" s="84">
        <f t="shared" si="32"/>
        <v>18800</v>
      </c>
    </row>
    <row r="250" spans="2:15" ht="22.5" customHeight="1">
      <c r="B250" s="80"/>
      <c r="C250" s="81" t="s">
        <v>405</v>
      </c>
      <c r="D250" s="82"/>
      <c r="E250" s="80" t="s">
        <v>44</v>
      </c>
      <c r="F250" s="83">
        <v>42</v>
      </c>
      <c r="G250" s="304">
        <v>1475</v>
      </c>
      <c r="H250" s="83">
        <f t="shared" si="34"/>
        <v>61950</v>
      </c>
      <c r="I250" s="304">
        <v>135</v>
      </c>
      <c r="J250" s="83">
        <f t="shared" si="35"/>
        <v>5670</v>
      </c>
      <c r="K250" s="83">
        <f t="shared" si="36"/>
        <v>67620</v>
      </c>
      <c r="L250" s="124"/>
      <c r="M250" s="124"/>
      <c r="O250" s="84">
        <f t="shared" si="32"/>
        <v>67620</v>
      </c>
    </row>
    <row r="251" spans="2:15" ht="22.5" customHeight="1">
      <c r="B251" s="80"/>
      <c r="C251" s="81" t="s">
        <v>406</v>
      </c>
      <c r="D251" s="82"/>
      <c r="E251" s="80" t="s">
        <v>44</v>
      </c>
      <c r="F251" s="83">
        <v>1</v>
      </c>
      <c r="G251" s="304">
        <v>705</v>
      </c>
      <c r="H251" s="83">
        <f t="shared" si="34"/>
        <v>705</v>
      </c>
      <c r="I251" s="304">
        <v>115</v>
      </c>
      <c r="J251" s="83">
        <f t="shared" si="35"/>
        <v>115</v>
      </c>
      <c r="K251" s="83">
        <f t="shared" si="36"/>
        <v>820</v>
      </c>
      <c r="L251" s="124"/>
      <c r="M251" s="124"/>
      <c r="O251" s="84">
        <f t="shared" si="32"/>
        <v>820</v>
      </c>
    </row>
    <row r="252" spans="2:15" ht="22.5" customHeight="1">
      <c r="B252" s="80"/>
      <c r="C252" s="81" t="s">
        <v>407</v>
      </c>
      <c r="D252" s="82"/>
      <c r="E252" s="80" t="s">
        <v>44</v>
      </c>
      <c r="F252" s="83">
        <v>40</v>
      </c>
      <c r="G252" s="304">
        <v>700</v>
      </c>
      <c r="H252" s="83">
        <f t="shared" si="34"/>
        <v>28000</v>
      </c>
      <c r="I252" s="304">
        <v>115</v>
      </c>
      <c r="J252" s="83">
        <f t="shared" si="35"/>
        <v>4600</v>
      </c>
      <c r="K252" s="83">
        <f t="shared" si="36"/>
        <v>32600</v>
      </c>
      <c r="L252" s="124"/>
      <c r="M252" s="124"/>
      <c r="O252" s="84">
        <f t="shared" si="32"/>
        <v>32600</v>
      </c>
    </row>
    <row r="253" spans="2:15" ht="22.5" customHeight="1">
      <c r="B253" s="80"/>
      <c r="C253" s="81" t="s">
        <v>408</v>
      </c>
      <c r="D253" s="82"/>
      <c r="E253" s="80" t="s">
        <v>44</v>
      </c>
      <c r="F253" s="83">
        <v>20</v>
      </c>
      <c r="G253" s="304">
        <v>570</v>
      </c>
      <c r="H253" s="83">
        <f t="shared" si="34"/>
        <v>11400</v>
      </c>
      <c r="I253" s="304">
        <v>165</v>
      </c>
      <c r="J253" s="83">
        <f t="shared" si="35"/>
        <v>3300</v>
      </c>
      <c r="K253" s="83">
        <f t="shared" si="36"/>
        <v>14700</v>
      </c>
      <c r="L253" s="124"/>
      <c r="M253" s="124"/>
      <c r="O253" s="84">
        <f t="shared" si="32"/>
        <v>14700</v>
      </c>
    </row>
    <row r="254" spans="2:15" ht="22.5" customHeight="1">
      <c r="B254" s="80"/>
      <c r="C254" s="81" t="s">
        <v>409</v>
      </c>
      <c r="D254" s="82"/>
      <c r="E254" s="80" t="s">
        <v>44</v>
      </c>
      <c r="F254" s="83">
        <v>2</v>
      </c>
      <c r="G254" s="304">
        <v>700</v>
      </c>
      <c r="H254" s="83">
        <f t="shared" si="34"/>
        <v>1400</v>
      </c>
      <c r="I254" s="304">
        <v>165</v>
      </c>
      <c r="J254" s="83">
        <f t="shared" si="35"/>
        <v>330</v>
      </c>
      <c r="K254" s="83">
        <f t="shared" si="36"/>
        <v>1730</v>
      </c>
      <c r="L254" s="124"/>
      <c r="M254" s="124"/>
      <c r="O254" s="84">
        <f t="shared" si="32"/>
        <v>1730</v>
      </c>
    </row>
    <row r="255" spans="2:15" ht="22.5" customHeight="1">
      <c r="B255" s="80">
        <v>2</v>
      </c>
      <c r="C255" s="81" t="s">
        <v>282</v>
      </c>
      <c r="D255" s="82"/>
      <c r="E255" s="80"/>
      <c r="F255" s="83"/>
      <c r="G255" s="304"/>
      <c r="H255" s="83"/>
      <c r="I255" s="304"/>
      <c r="J255" s="83"/>
      <c r="K255" s="83"/>
      <c r="L255" s="124"/>
      <c r="M255" s="124"/>
      <c r="O255" s="84"/>
    </row>
    <row r="256" spans="2:15" ht="22.5" customHeight="1">
      <c r="B256" s="80"/>
      <c r="C256" s="81" t="s">
        <v>283</v>
      </c>
      <c r="D256" s="82"/>
      <c r="E256" s="80" t="s">
        <v>19</v>
      </c>
      <c r="F256" s="83">
        <v>132</v>
      </c>
      <c r="G256" s="304">
        <v>88</v>
      </c>
      <c r="H256" s="83">
        <f t="shared" si="34"/>
        <v>11616</v>
      </c>
      <c r="I256" s="304">
        <v>80</v>
      </c>
      <c r="J256" s="83">
        <f t="shared" si="35"/>
        <v>10560</v>
      </c>
      <c r="K256" s="83">
        <f t="shared" si="36"/>
        <v>22176</v>
      </c>
      <c r="L256" s="124"/>
      <c r="M256" s="124"/>
      <c r="O256" s="84">
        <f t="shared" si="32"/>
        <v>22176</v>
      </c>
    </row>
    <row r="257" spans="2:15" ht="22.5" customHeight="1">
      <c r="B257" s="80"/>
      <c r="C257" s="81" t="s">
        <v>284</v>
      </c>
      <c r="D257" s="82"/>
      <c r="E257" s="80" t="s">
        <v>19</v>
      </c>
      <c r="F257" s="83">
        <v>6</v>
      </c>
      <c r="G257" s="304">
        <v>100</v>
      </c>
      <c r="H257" s="83">
        <f t="shared" si="34"/>
        <v>600</v>
      </c>
      <c r="I257" s="304">
        <v>90</v>
      </c>
      <c r="J257" s="83">
        <f t="shared" si="35"/>
        <v>540</v>
      </c>
      <c r="K257" s="83">
        <f t="shared" si="36"/>
        <v>1140</v>
      </c>
      <c r="L257" s="124"/>
      <c r="M257" s="124"/>
      <c r="O257" s="84">
        <f t="shared" si="32"/>
        <v>1140</v>
      </c>
    </row>
    <row r="258" spans="2:15" ht="22.5" customHeight="1">
      <c r="B258" s="80"/>
      <c r="C258" s="81" t="s">
        <v>285</v>
      </c>
      <c r="D258" s="82"/>
      <c r="E258" s="80" t="s">
        <v>19</v>
      </c>
      <c r="F258" s="83">
        <v>20</v>
      </c>
      <c r="G258" s="304">
        <v>130</v>
      </c>
      <c r="H258" s="83">
        <f t="shared" si="34"/>
        <v>2600</v>
      </c>
      <c r="I258" s="304">
        <v>100</v>
      </c>
      <c r="J258" s="83">
        <f t="shared" si="35"/>
        <v>2000</v>
      </c>
      <c r="K258" s="83">
        <f t="shared" si="36"/>
        <v>4600</v>
      </c>
      <c r="L258" s="124"/>
      <c r="M258" s="124"/>
      <c r="O258" s="84">
        <f t="shared" si="32"/>
        <v>4600</v>
      </c>
    </row>
    <row r="259" spans="2:15" ht="22.5" customHeight="1">
      <c r="B259" s="80"/>
      <c r="C259" s="81" t="s">
        <v>286</v>
      </c>
      <c r="D259" s="82"/>
      <c r="E259" s="80" t="s">
        <v>19</v>
      </c>
      <c r="F259" s="83">
        <v>1</v>
      </c>
      <c r="G259" s="304">
        <v>160</v>
      </c>
      <c r="H259" s="83">
        <f t="shared" si="34"/>
        <v>160</v>
      </c>
      <c r="I259" s="304">
        <v>115</v>
      </c>
      <c r="J259" s="83">
        <f t="shared" si="35"/>
        <v>115</v>
      </c>
      <c r="K259" s="83">
        <f t="shared" si="36"/>
        <v>275</v>
      </c>
      <c r="L259" s="124"/>
      <c r="M259" s="124"/>
      <c r="O259" s="84">
        <f t="shared" si="32"/>
        <v>275</v>
      </c>
    </row>
    <row r="260" spans="2:15" ht="22.5" customHeight="1">
      <c r="B260" s="80"/>
      <c r="C260" s="81" t="s">
        <v>287</v>
      </c>
      <c r="D260" s="82"/>
      <c r="E260" s="80" t="s">
        <v>19</v>
      </c>
      <c r="F260" s="83">
        <v>1</v>
      </c>
      <c r="G260" s="304">
        <v>280</v>
      </c>
      <c r="H260" s="83">
        <f t="shared" si="34"/>
        <v>280</v>
      </c>
      <c r="I260" s="304">
        <v>115</v>
      </c>
      <c r="J260" s="83">
        <f t="shared" si="35"/>
        <v>115</v>
      </c>
      <c r="K260" s="83">
        <f t="shared" si="36"/>
        <v>395</v>
      </c>
      <c r="L260" s="124"/>
      <c r="M260" s="124"/>
      <c r="O260" s="84">
        <f t="shared" si="32"/>
        <v>395</v>
      </c>
    </row>
    <row r="261" spans="2:15" ht="22.5" customHeight="1">
      <c r="B261" s="80">
        <v>3</v>
      </c>
      <c r="C261" s="81" t="s">
        <v>64</v>
      </c>
      <c r="D261" s="82"/>
      <c r="E261" s="80" t="s">
        <v>19</v>
      </c>
      <c r="F261" s="83">
        <v>63</v>
      </c>
      <c r="G261" s="304">
        <v>95</v>
      </c>
      <c r="H261" s="83">
        <f t="shared" si="34"/>
        <v>5985</v>
      </c>
      <c r="I261" s="304">
        <v>85</v>
      </c>
      <c r="J261" s="83">
        <f t="shared" si="35"/>
        <v>5355</v>
      </c>
      <c r="K261" s="83">
        <f t="shared" si="36"/>
        <v>11340</v>
      </c>
      <c r="L261" s="124"/>
      <c r="M261" s="124"/>
      <c r="O261" s="84">
        <f t="shared" si="32"/>
        <v>11340</v>
      </c>
    </row>
    <row r="262" spans="2:15" ht="22.5" customHeight="1">
      <c r="B262" s="80">
        <v>4</v>
      </c>
      <c r="C262" s="81" t="s">
        <v>65</v>
      </c>
      <c r="D262" s="82"/>
      <c r="E262" s="80" t="s">
        <v>19</v>
      </c>
      <c r="F262" s="83">
        <v>209</v>
      </c>
      <c r="G262" s="304">
        <v>180</v>
      </c>
      <c r="H262" s="83">
        <f t="shared" si="34"/>
        <v>37620</v>
      </c>
      <c r="I262" s="304">
        <v>90</v>
      </c>
      <c r="J262" s="83">
        <f t="shared" si="35"/>
        <v>18810</v>
      </c>
      <c r="K262" s="83">
        <f t="shared" si="36"/>
        <v>56430</v>
      </c>
      <c r="L262" s="124"/>
      <c r="M262" s="124"/>
      <c r="O262" s="84">
        <f t="shared" si="32"/>
        <v>56430</v>
      </c>
    </row>
    <row r="263" spans="2:15" ht="22.5" customHeight="1">
      <c r="B263" s="80">
        <v>5</v>
      </c>
      <c r="C263" s="81" t="s">
        <v>66</v>
      </c>
      <c r="D263" s="82"/>
      <c r="E263" s="80" t="s">
        <v>44</v>
      </c>
      <c r="F263" s="83">
        <v>60</v>
      </c>
      <c r="G263" s="304">
        <v>400</v>
      </c>
      <c r="H263" s="83">
        <f t="shared" si="34"/>
        <v>24000</v>
      </c>
      <c r="I263" s="304">
        <v>110</v>
      </c>
      <c r="J263" s="83">
        <f t="shared" si="35"/>
        <v>6600</v>
      </c>
      <c r="K263" s="83">
        <f aca="true" t="shared" si="37" ref="K263:K281">H263+J263</f>
        <v>30600</v>
      </c>
      <c r="L263" s="124"/>
      <c r="M263" s="124"/>
      <c r="O263" s="84">
        <f t="shared" si="32"/>
        <v>30600</v>
      </c>
    </row>
    <row r="264" spans="2:15" ht="22.5" customHeight="1">
      <c r="B264" s="80">
        <v>6</v>
      </c>
      <c r="C264" s="81" t="s">
        <v>67</v>
      </c>
      <c r="D264" s="82"/>
      <c r="E264" s="80" t="s">
        <v>44</v>
      </c>
      <c r="F264" s="83">
        <v>1</v>
      </c>
      <c r="G264" s="304">
        <v>60000</v>
      </c>
      <c r="H264" s="83">
        <f t="shared" si="34"/>
        <v>60000</v>
      </c>
      <c r="I264" s="304">
        <v>5000</v>
      </c>
      <c r="J264" s="83">
        <f t="shared" si="35"/>
        <v>5000</v>
      </c>
      <c r="K264" s="83">
        <f t="shared" si="37"/>
        <v>65000</v>
      </c>
      <c r="L264" s="124"/>
      <c r="M264" s="124"/>
      <c r="O264" s="84">
        <f t="shared" si="32"/>
        <v>65000</v>
      </c>
    </row>
    <row r="265" spans="2:15" ht="22.5" customHeight="1">
      <c r="B265" s="80">
        <v>7</v>
      </c>
      <c r="C265" s="81" t="s">
        <v>68</v>
      </c>
      <c r="D265" s="82"/>
      <c r="E265" s="80" t="s">
        <v>44</v>
      </c>
      <c r="F265" s="83">
        <v>1</v>
      </c>
      <c r="G265" s="304">
        <v>7500</v>
      </c>
      <c r="H265" s="83">
        <f t="shared" si="34"/>
        <v>7500</v>
      </c>
      <c r="I265" s="304">
        <v>300</v>
      </c>
      <c r="J265" s="83">
        <f t="shared" si="35"/>
        <v>300</v>
      </c>
      <c r="K265" s="83">
        <f t="shared" si="37"/>
        <v>7800</v>
      </c>
      <c r="L265" s="124"/>
      <c r="M265" s="124"/>
      <c r="O265" s="84">
        <f t="shared" si="32"/>
        <v>7800</v>
      </c>
    </row>
    <row r="266" spans="2:15" ht="22.5" customHeight="1">
      <c r="B266" s="80">
        <v>8</v>
      </c>
      <c r="C266" s="81" t="s">
        <v>69</v>
      </c>
      <c r="D266" s="82"/>
      <c r="E266" s="80" t="s">
        <v>44</v>
      </c>
      <c r="F266" s="83">
        <v>5</v>
      </c>
      <c r="G266" s="304">
        <v>22500</v>
      </c>
      <c r="H266" s="83">
        <f t="shared" si="34"/>
        <v>112500</v>
      </c>
      <c r="I266" s="304">
        <v>1500</v>
      </c>
      <c r="J266" s="83">
        <f t="shared" si="35"/>
        <v>7500</v>
      </c>
      <c r="K266" s="83">
        <f t="shared" si="37"/>
        <v>120000</v>
      </c>
      <c r="L266" s="124"/>
      <c r="M266" s="124"/>
      <c r="O266" s="84">
        <f t="shared" si="32"/>
        <v>120000</v>
      </c>
    </row>
    <row r="267" spans="2:15" ht="22.5" customHeight="1">
      <c r="B267" s="80">
        <v>9</v>
      </c>
      <c r="C267" s="81" t="s">
        <v>70</v>
      </c>
      <c r="D267" s="82"/>
      <c r="E267" s="80" t="s">
        <v>44</v>
      </c>
      <c r="F267" s="83">
        <v>20</v>
      </c>
      <c r="G267" s="304">
        <v>2725</v>
      </c>
      <c r="H267" s="83">
        <f t="shared" si="34"/>
        <v>54500</v>
      </c>
      <c r="I267" s="304">
        <v>300</v>
      </c>
      <c r="J267" s="83">
        <f t="shared" si="35"/>
        <v>6000</v>
      </c>
      <c r="K267" s="83">
        <f t="shared" si="37"/>
        <v>60500</v>
      </c>
      <c r="L267" s="124"/>
      <c r="M267" s="124"/>
      <c r="O267" s="84">
        <f t="shared" si="32"/>
        <v>60500</v>
      </c>
    </row>
    <row r="268" spans="2:15" ht="22.5" customHeight="1">
      <c r="B268" s="80">
        <v>10</v>
      </c>
      <c r="C268" s="81" t="s">
        <v>71</v>
      </c>
      <c r="D268" s="82"/>
      <c r="E268" s="80" t="s">
        <v>44</v>
      </c>
      <c r="F268" s="83">
        <v>1</v>
      </c>
      <c r="G268" s="304">
        <v>7500</v>
      </c>
      <c r="H268" s="83">
        <f t="shared" si="34"/>
        <v>7500</v>
      </c>
      <c r="I268" s="304">
        <v>300</v>
      </c>
      <c r="J268" s="83">
        <f t="shared" si="35"/>
        <v>300</v>
      </c>
      <c r="K268" s="83">
        <f t="shared" si="37"/>
        <v>7800</v>
      </c>
      <c r="L268" s="124"/>
      <c r="M268" s="124"/>
      <c r="O268" s="84">
        <f t="shared" si="32"/>
        <v>7800</v>
      </c>
    </row>
    <row r="269" spans="2:15" ht="22.5" customHeight="1">
      <c r="B269" s="80">
        <v>11</v>
      </c>
      <c r="C269" s="81" t="s">
        <v>288</v>
      </c>
      <c r="D269" s="82"/>
      <c r="E269" s="80"/>
      <c r="F269" s="83"/>
      <c r="G269" s="304"/>
      <c r="H269" s="83"/>
      <c r="I269" s="304"/>
      <c r="J269" s="83"/>
      <c r="K269" s="83"/>
      <c r="L269" s="124"/>
      <c r="M269" s="124"/>
      <c r="O269" s="84"/>
    </row>
    <row r="270" spans="2:15" ht="22.5" customHeight="1">
      <c r="B270" s="80"/>
      <c r="C270" s="81" t="s">
        <v>289</v>
      </c>
      <c r="D270" s="82"/>
      <c r="E270" s="80" t="s">
        <v>31</v>
      </c>
      <c r="F270" s="83">
        <v>135</v>
      </c>
      <c r="G270" s="304">
        <v>670</v>
      </c>
      <c r="H270" s="83">
        <f t="shared" si="34"/>
        <v>90450</v>
      </c>
      <c r="I270" s="304">
        <v>85</v>
      </c>
      <c r="J270" s="83">
        <f t="shared" si="35"/>
        <v>11475</v>
      </c>
      <c r="K270" s="83">
        <f t="shared" si="37"/>
        <v>101925</v>
      </c>
      <c r="L270" s="124"/>
      <c r="M270" s="124"/>
      <c r="O270" s="84">
        <f t="shared" si="32"/>
        <v>101925</v>
      </c>
    </row>
    <row r="271" spans="2:15" ht="22.5" customHeight="1">
      <c r="B271" s="80"/>
      <c r="C271" s="81" t="s">
        <v>290</v>
      </c>
      <c r="D271" s="82"/>
      <c r="E271" s="80" t="s">
        <v>31</v>
      </c>
      <c r="F271" s="83">
        <v>45</v>
      </c>
      <c r="G271" s="304">
        <v>372</v>
      </c>
      <c r="H271" s="83">
        <f t="shared" si="34"/>
        <v>16740</v>
      </c>
      <c r="I271" s="304">
        <v>52</v>
      </c>
      <c r="J271" s="83">
        <f t="shared" si="35"/>
        <v>2340</v>
      </c>
      <c r="K271" s="83">
        <f t="shared" si="37"/>
        <v>19080</v>
      </c>
      <c r="L271" s="124"/>
      <c r="M271" s="124"/>
      <c r="O271" s="84">
        <f t="shared" si="32"/>
        <v>19080</v>
      </c>
    </row>
    <row r="272" spans="2:15" ht="22.5" customHeight="1">
      <c r="B272" s="80"/>
      <c r="C272" s="81" t="s">
        <v>291</v>
      </c>
      <c r="D272" s="82"/>
      <c r="E272" s="80" t="s">
        <v>31</v>
      </c>
      <c r="F272" s="83">
        <v>685</v>
      </c>
      <c r="G272" s="304">
        <v>131</v>
      </c>
      <c r="H272" s="83">
        <f t="shared" si="34"/>
        <v>89735</v>
      </c>
      <c r="I272" s="304">
        <v>28</v>
      </c>
      <c r="J272" s="83">
        <f t="shared" si="35"/>
        <v>19180</v>
      </c>
      <c r="K272" s="83">
        <f t="shared" si="37"/>
        <v>108915</v>
      </c>
      <c r="L272" s="124"/>
      <c r="M272" s="124"/>
      <c r="O272" s="84">
        <f t="shared" si="32"/>
        <v>108915</v>
      </c>
    </row>
    <row r="273" spans="2:15" ht="22.5" customHeight="1">
      <c r="B273" s="80"/>
      <c r="C273" s="81" t="s">
        <v>292</v>
      </c>
      <c r="D273" s="82"/>
      <c r="E273" s="80" t="s">
        <v>31</v>
      </c>
      <c r="F273" s="83">
        <v>86</v>
      </c>
      <c r="G273" s="304">
        <v>63</v>
      </c>
      <c r="H273" s="83">
        <f t="shared" si="34"/>
        <v>5418</v>
      </c>
      <c r="I273" s="304">
        <v>19</v>
      </c>
      <c r="J273" s="83">
        <f t="shared" si="35"/>
        <v>1634</v>
      </c>
      <c r="K273" s="83">
        <f t="shared" si="37"/>
        <v>7052</v>
      </c>
      <c r="L273" s="124"/>
      <c r="M273" s="124"/>
      <c r="O273" s="84">
        <f t="shared" si="32"/>
        <v>7052</v>
      </c>
    </row>
    <row r="274" spans="2:15" ht="22.5" customHeight="1">
      <c r="B274" s="80"/>
      <c r="C274" s="81" t="s">
        <v>293</v>
      </c>
      <c r="D274" s="82"/>
      <c r="E274" s="80" t="s">
        <v>31</v>
      </c>
      <c r="F274" s="83">
        <v>178</v>
      </c>
      <c r="G274" s="304">
        <v>23</v>
      </c>
      <c r="H274" s="83">
        <f t="shared" si="34"/>
        <v>4094</v>
      </c>
      <c r="I274" s="304">
        <v>12</v>
      </c>
      <c r="J274" s="83">
        <f t="shared" si="35"/>
        <v>2136</v>
      </c>
      <c r="K274" s="83">
        <f t="shared" si="37"/>
        <v>6230</v>
      </c>
      <c r="L274" s="124"/>
      <c r="M274" s="124"/>
      <c r="O274" s="84">
        <f t="shared" si="32"/>
        <v>6230</v>
      </c>
    </row>
    <row r="275" spans="2:15" ht="22.5" customHeight="1">
      <c r="B275" s="80"/>
      <c r="C275" s="81" t="s">
        <v>294</v>
      </c>
      <c r="D275" s="82"/>
      <c r="E275" s="80" t="s">
        <v>31</v>
      </c>
      <c r="F275" s="83">
        <v>253</v>
      </c>
      <c r="G275" s="304">
        <v>9</v>
      </c>
      <c r="H275" s="83">
        <f t="shared" si="34"/>
        <v>2277</v>
      </c>
      <c r="I275" s="304">
        <v>7</v>
      </c>
      <c r="J275" s="83">
        <f t="shared" si="35"/>
        <v>1771</v>
      </c>
      <c r="K275" s="83">
        <f t="shared" si="37"/>
        <v>4048</v>
      </c>
      <c r="L275" s="124"/>
      <c r="M275" s="124"/>
      <c r="O275" s="84">
        <f t="shared" si="32"/>
        <v>4048</v>
      </c>
    </row>
    <row r="276" spans="2:15" ht="22.5" customHeight="1">
      <c r="B276" s="80"/>
      <c r="C276" s="81" t="s">
        <v>386</v>
      </c>
      <c r="D276" s="82"/>
      <c r="E276" s="80" t="s">
        <v>52</v>
      </c>
      <c r="F276" s="83">
        <v>1</v>
      </c>
      <c r="G276" s="304">
        <v>10000</v>
      </c>
      <c r="H276" s="83">
        <f t="shared" si="34"/>
        <v>10000</v>
      </c>
      <c r="I276" s="304">
        <v>0</v>
      </c>
      <c r="J276" s="83">
        <f t="shared" si="35"/>
        <v>0</v>
      </c>
      <c r="K276" s="83">
        <f t="shared" si="37"/>
        <v>10000</v>
      </c>
      <c r="L276" s="124"/>
      <c r="M276" s="124"/>
      <c r="O276" s="84">
        <f t="shared" si="32"/>
        <v>10000</v>
      </c>
    </row>
    <row r="277" spans="2:15" ht="22.5" customHeight="1">
      <c r="B277" s="80">
        <v>12</v>
      </c>
      <c r="C277" s="81" t="s">
        <v>295</v>
      </c>
      <c r="D277" s="82"/>
      <c r="E277" s="80" t="s">
        <v>31</v>
      </c>
      <c r="F277" s="83">
        <v>46</v>
      </c>
      <c r="G277" s="304">
        <v>529</v>
      </c>
      <c r="H277" s="83">
        <f t="shared" si="34"/>
        <v>24334</v>
      </c>
      <c r="I277" s="304">
        <v>70</v>
      </c>
      <c r="J277" s="83">
        <f t="shared" si="35"/>
        <v>3220</v>
      </c>
      <c r="K277" s="83">
        <f t="shared" si="37"/>
        <v>27554</v>
      </c>
      <c r="L277" s="124"/>
      <c r="M277" s="124"/>
      <c r="O277" s="84">
        <f t="shared" si="32"/>
        <v>27554</v>
      </c>
    </row>
    <row r="278" spans="2:15" ht="22.5" customHeight="1">
      <c r="B278" s="80">
        <v>13</v>
      </c>
      <c r="C278" s="81" t="s">
        <v>296</v>
      </c>
      <c r="D278" s="82"/>
      <c r="E278" s="80"/>
      <c r="F278" s="83"/>
      <c r="G278" s="304"/>
      <c r="H278" s="83"/>
      <c r="I278" s="304"/>
      <c r="J278" s="83"/>
      <c r="K278" s="83"/>
      <c r="L278" s="124"/>
      <c r="M278" s="124"/>
      <c r="O278" s="84"/>
    </row>
    <row r="279" spans="2:15" ht="22.5" customHeight="1">
      <c r="B279" s="80"/>
      <c r="C279" s="81" t="s">
        <v>254</v>
      </c>
      <c r="D279" s="82"/>
      <c r="E279" s="80" t="s">
        <v>31</v>
      </c>
      <c r="F279" s="83">
        <v>172</v>
      </c>
      <c r="G279" s="304">
        <v>94</v>
      </c>
      <c r="H279" s="83">
        <f t="shared" si="34"/>
        <v>16168</v>
      </c>
      <c r="I279" s="304">
        <v>30</v>
      </c>
      <c r="J279" s="83">
        <f t="shared" si="35"/>
        <v>5160</v>
      </c>
      <c r="K279" s="83">
        <f t="shared" si="37"/>
        <v>21328</v>
      </c>
      <c r="L279" s="124"/>
      <c r="M279" s="124"/>
      <c r="O279" s="84">
        <f t="shared" si="32"/>
        <v>21328</v>
      </c>
    </row>
    <row r="280" spans="2:15" ht="22.5" customHeight="1">
      <c r="B280" s="80"/>
      <c r="C280" s="81" t="s">
        <v>255</v>
      </c>
      <c r="D280" s="82"/>
      <c r="E280" s="80" t="s">
        <v>31</v>
      </c>
      <c r="F280" s="83">
        <v>6</v>
      </c>
      <c r="G280" s="304">
        <v>54</v>
      </c>
      <c r="H280" s="83">
        <f t="shared" si="34"/>
        <v>324</v>
      </c>
      <c r="I280" s="304">
        <v>26</v>
      </c>
      <c r="J280" s="83">
        <f t="shared" si="35"/>
        <v>156</v>
      </c>
      <c r="K280" s="83">
        <f t="shared" si="37"/>
        <v>480</v>
      </c>
      <c r="L280" s="124"/>
      <c r="M280" s="124"/>
      <c r="O280" s="84">
        <f t="shared" si="32"/>
        <v>480</v>
      </c>
    </row>
    <row r="281" spans="2:15" ht="22.5" customHeight="1">
      <c r="B281" s="80"/>
      <c r="C281" s="81" t="s">
        <v>260</v>
      </c>
      <c r="D281" s="82"/>
      <c r="E281" s="80" t="s">
        <v>31</v>
      </c>
      <c r="F281" s="83">
        <v>127</v>
      </c>
      <c r="G281" s="304">
        <v>26</v>
      </c>
      <c r="H281" s="83">
        <f t="shared" si="34"/>
        <v>3302</v>
      </c>
      <c r="I281" s="304">
        <v>21</v>
      </c>
      <c r="J281" s="83">
        <f t="shared" si="35"/>
        <v>2667</v>
      </c>
      <c r="K281" s="83">
        <f t="shared" si="37"/>
        <v>5969</v>
      </c>
      <c r="L281" s="124"/>
      <c r="M281" s="124"/>
      <c r="O281" s="84">
        <f t="shared" si="32"/>
        <v>5969</v>
      </c>
    </row>
    <row r="282" spans="2:15" ht="22.5" customHeight="1">
      <c r="B282" s="80">
        <v>14</v>
      </c>
      <c r="C282" s="81" t="s">
        <v>72</v>
      </c>
      <c r="D282" s="82"/>
      <c r="E282" s="80" t="s">
        <v>52</v>
      </c>
      <c r="F282" s="83">
        <v>1</v>
      </c>
      <c r="G282" s="304">
        <v>6500</v>
      </c>
      <c r="H282" s="83">
        <f t="shared" si="34"/>
        <v>6500</v>
      </c>
      <c r="I282" s="304">
        <v>4800</v>
      </c>
      <c r="J282" s="83">
        <f t="shared" si="35"/>
        <v>4800</v>
      </c>
      <c r="K282" s="83">
        <f>H282+J282</f>
        <v>11300</v>
      </c>
      <c r="L282" s="124"/>
      <c r="M282" s="124"/>
      <c r="O282" s="84">
        <f t="shared" si="32"/>
        <v>11300</v>
      </c>
    </row>
    <row r="283" spans="2:15" ht="22.5" customHeight="1">
      <c r="B283" s="80"/>
      <c r="C283" s="81"/>
      <c r="D283" s="82"/>
      <c r="E283" s="80"/>
      <c r="F283" s="83"/>
      <c r="G283" s="304"/>
      <c r="H283" s="83"/>
      <c r="I283" s="304"/>
      <c r="J283" s="83"/>
      <c r="K283" s="83"/>
      <c r="L283" s="124"/>
      <c r="M283" s="124"/>
      <c r="O283" s="84"/>
    </row>
    <row r="284" spans="2:15" ht="22.5" customHeight="1">
      <c r="B284" s="80">
        <v>15</v>
      </c>
      <c r="C284" s="81" t="s">
        <v>73</v>
      </c>
      <c r="D284" s="82"/>
      <c r="E284" s="75"/>
      <c r="F284" s="83"/>
      <c r="G284" s="304"/>
      <c r="H284" s="91" t="s">
        <v>2</v>
      </c>
      <c r="I284" s="304"/>
      <c r="J284" s="91" t="s">
        <v>2</v>
      </c>
      <c r="K284" s="91" t="s">
        <v>2</v>
      </c>
      <c r="L284" s="126"/>
      <c r="M284" s="126"/>
      <c r="O284" s="84">
        <f t="shared" si="32"/>
        <v>0</v>
      </c>
    </row>
    <row r="285" spans="2:15" ht="22.5" customHeight="1">
      <c r="B285" s="80"/>
      <c r="C285" s="81" t="s">
        <v>74</v>
      </c>
      <c r="D285" s="82"/>
      <c r="E285" s="80" t="s">
        <v>19</v>
      </c>
      <c r="F285" s="83">
        <v>415</v>
      </c>
      <c r="G285" s="304">
        <v>300</v>
      </c>
      <c r="H285" s="83">
        <f>F285*G285</f>
        <v>124500</v>
      </c>
      <c r="I285" s="304">
        <v>100</v>
      </c>
      <c r="J285" s="83">
        <f>F285*I285</f>
        <v>41500</v>
      </c>
      <c r="K285" s="83">
        <f>H285+J285</f>
        <v>166000</v>
      </c>
      <c r="L285" s="124"/>
      <c r="M285" s="124"/>
      <c r="O285" s="84">
        <f t="shared" si="32"/>
        <v>166000</v>
      </c>
    </row>
    <row r="286" spans="2:15" ht="22.5" customHeight="1">
      <c r="B286" s="80">
        <v>16</v>
      </c>
      <c r="C286" s="81" t="s">
        <v>75</v>
      </c>
      <c r="D286" s="82"/>
      <c r="E286" s="75"/>
      <c r="F286" s="83"/>
      <c r="G286" s="304"/>
      <c r="H286" s="91" t="s">
        <v>2</v>
      </c>
      <c r="I286" s="304"/>
      <c r="J286" s="91" t="s">
        <v>2</v>
      </c>
      <c r="K286" s="91" t="s">
        <v>2</v>
      </c>
      <c r="L286" s="126"/>
      <c r="M286" s="126"/>
      <c r="O286" s="84">
        <f t="shared" si="32"/>
        <v>0</v>
      </c>
    </row>
    <row r="287" spans="2:15" ht="22.5" customHeight="1">
      <c r="B287" s="80"/>
      <c r="C287" s="81" t="s">
        <v>76</v>
      </c>
      <c r="D287" s="82"/>
      <c r="E287" s="80" t="s">
        <v>52</v>
      </c>
      <c r="F287" s="83">
        <v>1</v>
      </c>
      <c r="G287" s="304">
        <v>10000</v>
      </c>
      <c r="H287" s="83">
        <f>F287*G287</f>
        <v>10000</v>
      </c>
      <c r="I287" s="304">
        <v>3600</v>
      </c>
      <c r="J287" s="83">
        <f>F287*I287</f>
        <v>3600</v>
      </c>
      <c r="K287" s="83">
        <f>H287+J287</f>
        <v>13600</v>
      </c>
      <c r="L287" s="124"/>
      <c r="M287" s="124"/>
      <c r="O287" s="84">
        <f t="shared" si="32"/>
        <v>13600</v>
      </c>
    </row>
    <row r="288" spans="2:15" ht="22.5" customHeight="1">
      <c r="B288" s="80">
        <v>17</v>
      </c>
      <c r="C288" s="81" t="s">
        <v>77</v>
      </c>
      <c r="D288" s="82"/>
      <c r="E288" s="80" t="s">
        <v>19</v>
      </c>
      <c r="F288" s="83">
        <v>60</v>
      </c>
      <c r="G288" s="304">
        <v>300</v>
      </c>
      <c r="H288" s="83">
        <f>F288*G288</f>
        <v>18000</v>
      </c>
      <c r="I288" s="304">
        <v>100</v>
      </c>
      <c r="J288" s="83">
        <f>F288*I288</f>
        <v>6000</v>
      </c>
      <c r="K288" s="83">
        <f>H288+J288</f>
        <v>24000</v>
      </c>
      <c r="L288" s="124"/>
      <c r="M288" s="124"/>
      <c r="O288" s="84">
        <f t="shared" si="32"/>
        <v>24000</v>
      </c>
    </row>
    <row r="289" spans="2:15" ht="22.5" customHeight="1">
      <c r="B289" s="80">
        <v>18</v>
      </c>
      <c r="C289" s="81" t="s">
        <v>297</v>
      </c>
      <c r="D289" s="82"/>
      <c r="E289" s="80" t="s">
        <v>44</v>
      </c>
      <c r="F289" s="83">
        <v>20</v>
      </c>
      <c r="G289" s="304">
        <v>800</v>
      </c>
      <c r="H289" s="83">
        <f>F289*G289</f>
        <v>16000</v>
      </c>
      <c r="I289" s="304">
        <v>400</v>
      </c>
      <c r="J289" s="83">
        <f>F289*I289</f>
        <v>8000</v>
      </c>
      <c r="K289" s="83">
        <f>H289+J289</f>
        <v>24000</v>
      </c>
      <c r="L289" s="124"/>
      <c r="M289" s="124"/>
      <c r="O289" s="84">
        <f>F289*(G289+I289)</f>
        <v>24000</v>
      </c>
    </row>
    <row r="290" spans="2:15" ht="22.5" customHeight="1">
      <c r="B290" s="80"/>
      <c r="C290" s="90"/>
      <c r="D290" s="82"/>
      <c r="E290" s="75"/>
      <c r="F290" s="83"/>
      <c r="G290" s="83"/>
      <c r="H290" s="91" t="s">
        <v>2</v>
      </c>
      <c r="I290" s="83"/>
      <c r="J290" s="91" t="s">
        <v>2</v>
      </c>
      <c r="K290" s="91" t="s">
        <v>2</v>
      </c>
      <c r="L290" s="126"/>
      <c r="M290" s="126"/>
      <c r="O290" s="84">
        <f>F290*(G290+I290)</f>
        <v>0</v>
      </c>
    </row>
    <row r="291" spans="2:15" ht="22.5" customHeight="1">
      <c r="B291" s="112"/>
      <c r="C291" s="500" t="s">
        <v>299</v>
      </c>
      <c r="D291" s="501"/>
      <c r="E291" s="93"/>
      <c r="F291" s="94"/>
      <c r="G291" s="94"/>
      <c r="H291" s="94">
        <f>SUM(H245:H290)</f>
        <v>956548</v>
      </c>
      <c r="I291" s="94"/>
      <c r="J291" s="94">
        <f>SUM(J245:J290)</f>
        <v>207294</v>
      </c>
      <c r="K291" s="94">
        <f>SUM(K245:K290)</f>
        <v>1163842</v>
      </c>
      <c r="L291" s="127"/>
      <c r="M291" s="127"/>
      <c r="O291" s="84">
        <f>F291*(G291+I291)</f>
        <v>0</v>
      </c>
    </row>
    <row r="292" spans="2:15" ht="22.5" customHeight="1">
      <c r="B292" s="112"/>
      <c r="C292" s="92"/>
      <c r="D292" s="95"/>
      <c r="E292" s="93"/>
      <c r="F292" s="94"/>
      <c r="G292" s="94"/>
      <c r="H292" s="94"/>
      <c r="I292" s="94"/>
      <c r="J292" s="94"/>
      <c r="K292" s="94"/>
      <c r="L292" s="127"/>
      <c r="M292" s="127"/>
      <c r="O292" s="84"/>
    </row>
    <row r="293" spans="2:15" ht="22.5" customHeight="1">
      <c r="B293" s="112"/>
      <c r="C293" s="92"/>
      <c r="D293" s="95"/>
      <c r="E293" s="93"/>
      <c r="F293" s="94"/>
      <c r="G293" s="94"/>
      <c r="H293" s="94"/>
      <c r="I293" s="94"/>
      <c r="J293" s="94"/>
      <c r="K293" s="94"/>
      <c r="L293" s="127"/>
      <c r="M293" s="127"/>
      <c r="O293" s="84"/>
    </row>
    <row r="294" spans="2:15" ht="22.5" customHeight="1">
      <c r="B294" s="80"/>
      <c r="C294" s="118" t="s">
        <v>300</v>
      </c>
      <c r="D294" s="74"/>
      <c r="E294" s="75"/>
      <c r="F294" s="83"/>
      <c r="G294" s="83"/>
      <c r="H294" s="91" t="s">
        <v>2</v>
      </c>
      <c r="I294" s="83"/>
      <c r="J294" s="91" t="s">
        <v>2</v>
      </c>
      <c r="K294" s="91" t="s">
        <v>2</v>
      </c>
      <c r="L294" s="126"/>
      <c r="M294" s="126"/>
      <c r="O294" s="84">
        <f aca="true" t="shared" si="38" ref="O294:O303">F294*(G294+I294)</f>
        <v>0</v>
      </c>
    </row>
    <row r="295" spans="2:15" ht="22.5" customHeight="1">
      <c r="B295" s="80">
        <v>1</v>
      </c>
      <c r="C295" s="81" t="s">
        <v>78</v>
      </c>
      <c r="D295" s="82"/>
      <c r="E295" s="80" t="s">
        <v>44</v>
      </c>
      <c r="F295" s="83">
        <v>1</v>
      </c>
      <c r="G295" s="83">
        <v>75000</v>
      </c>
      <c r="H295" s="83">
        <f aca="true" t="shared" si="39" ref="H295:H300">F295*G295</f>
        <v>75000</v>
      </c>
      <c r="I295" s="83">
        <v>0</v>
      </c>
      <c r="J295" s="83">
        <f aca="true" t="shared" si="40" ref="J295:J300">F295*I295</f>
        <v>0</v>
      </c>
      <c r="K295" s="83">
        <f aca="true" t="shared" si="41" ref="K295:K301">H295+J295</f>
        <v>75000</v>
      </c>
      <c r="L295" s="124"/>
      <c r="M295" s="124"/>
      <c r="O295" s="84">
        <f t="shared" si="38"/>
        <v>75000</v>
      </c>
    </row>
    <row r="296" spans="2:15" ht="22.5" customHeight="1">
      <c r="B296" s="80">
        <v>2</v>
      </c>
      <c r="C296" s="81" t="s">
        <v>79</v>
      </c>
      <c r="D296" s="82"/>
      <c r="E296" s="80" t="s">
        <v>44</v>
      </c>
      <c r="F296" s="83">
        <v>1</v>
      </c>
      <c r="G296" s="83">
        <v>5000</v>
      </c>
      <c r="H296" s="83">
        <f t="shared" si="39"/>
        <v>5000</v>
      </c>
      <c r="I296" s="83">
        <v>0</v>
      </c>
      <c r="J296" s="83">
        <f t="shared" si="40"/>
        <v>0</v>
      </c>
      <c r="K296" s="83">
        <f t="shared" si="41"/>
        <v>5000</v>
      </c>
      <c r="L296" s="124"/>
      <c r="M296" s="124"/>
      <c r="O296" s="84">
        <f t="shared" si="38"/>
        <v>5000</v>
      </c>
    </row>
    <row r="297" spans="2:15" ht="22.5" customHeight="1">
      <c r="B297" s="80">
        <v>3</v>
      </c>
      <c r="C297" s="81" t="s">
        <v>80</v>
      </c>
      <c r="D297" s="82"/>
      <c r="E297" s="80" t="s">
        <v>31</v>
      </c>
      <c r="F297" s="83">
        <v>40</v>
      </c>
      <c r="G297" s="83">
        <v>1900</v>
      </c>
      <c r="H297" s="83">
        <f t="shared" si="39"/>
        <v>76000</v>
      </c>
      <c r="I297" s="83"/>
      <c r="J297" s="83">
        <f t="shared" si="40"/>
        <v>0</v>
      </c>
      <c r="K297" s="83">
        <f t="shared" si="41"/>
        <v>76000</v>
      </c>
      <c r="L297" s="124"/>
      <c r="M297" s="124"/>
      <c r="O297" s="84">
        <f t="shared" si="38"/>
        <v>76000</v>
      </c>
    </row>
    <row r="298" spans="2:15" ht="22.5" customHeight="1">
      <c r="B298" s="80">
        <v>4</v>
      </c>
      <c r="C298" s="81" t="s">
        <v>81</v>
      </c>
      <c r="D298" s="82"/>
      <c r="E298" s="80" t="s">
        <v>44</v>
      </c>
      <c r="F298" s="83">
        <v>1</v>
      </c>
      <c r="G298" s="83">
        <v>17000</v>
      </c>
      <c r="H298" s="83">
        <f t="shared" si="39"/>
        <v>17000</v>
      </c>
      <c r="I298" s="83">
        <v>0</v>
      </c>
      <c r="J298" s="83">
        <f t="shared" si="40"/>
        <v>0</v>
      </c>
      <c r="K298" s="83">
        <f t="shared" si="41"/>
        <v>17000</v>
      </c>
      <c r="L298" s="124"/>
      <c r="M298" s="124"/>
      <c r="O298" s="84">
        <f t="shared" si="38"/>
        <v>17000</v>
      </c>
    </row>
    <row r="299" spans="2:15" ht="22.5" customHeight="1">
      <c r="B299" s="80">
        <v>5</v>
      </c>
      <c r="C299" s="81" t="s">
        <v>82</v>
      </c>
      <c r="D299" s="82"/>
      <c r="E299" s="80" t="s">
        <v>44</v>
      </c>
      <c r="F299" s="83">
        <v>1</v>
      </c>
      <c r="G299" s="83">
        <v>4000</v>
      </c>
      <c r="H299" s="83">
        <f t="shared" si="39"/>
        <v>4000</v>
      </c>
      <c r="I299" s="83">
        <v>0</v>
      </c>
      <c r="J299" s="83">
        <f t="shared" si="40"/>
        <v>0</v>
      </c>
      <c r="K299" s="83">
        <f t="shared" si="41"/>
        <v>4000</v>
      </c>
      <c r="L299" s="124"/>
      <c r="M299" s="124"/>
      <c r="O299" s="84">
        <f t="shared" si="38"/>
        <v>4000</v>
      </c>
    </row>
    <row r="300" spans="2:15" ht="22.5" customHeight="1">
      <c r="B300" s="80">
        <v>6</v>
      </c>
      <c r="C300" s="81" t="s">
        <v>84</v>
      </c>
      <c r="D300" s="82"/>
      <c r="E300" s="80" t="s">
        <v>52</v>
      </c>
      <c r="F300" s="83">
        <v>1</v>
      </c>
      <c r="G300" s="83">
        <v>3000</v>
      </c>
      <c r="H300" s="83">
        <f t="shared" si="39"/>
        <v>3000</v>
      </c>
      <c r="I300" s="83">
        <v>0</v>
      </c>
      <c r="J300" s="83">
        <f t="shared" si="40"/>
        <v>0</v>
      </c>
      <c r="K300" s="83">
        <f t="shared" si="41"/>
        <v>3000</v>
      </c>
      <c r="L300" s="124"/>
      <c r="M300" s="124"/>
      <c r="O300" s="84">
        <f t="shared" si="38"/>
        <v>3000</v>
      </c>
    </row>
    <row r="301" spans="2:15" ht="22.5" customHeight="1">
      <c r="B301" s="80">
        <v>7</v>
      </c>
      <c r="C301" s="81" t="s">
        <v>83</v>
      </c>
      <c r="D301" s="82"/>
      <c r="E301" s="80" t="s">
        <v>52</v>
      </c>
      <c r="F301" s="83">
        <v>1</v>
      </c>
      <c r="G301" s="83">
        <v>0</v>
      </c>
      <c r="H301" s="83">
        <f>F301*G301</f>
        <v>0</v>
      </c>
      <c r="I301" s="83">
        <v>15000</v>
      </c>
      <c r="J301" s="83">
        <f>F301*I301</f>
        <v>15000</v>
      </c>
      <c r="K301" s="83">
        <f t="shared" si="41"/>
        <v>15000</v>
      </c>
      <c r="L301" s="124"/>
      <c r="M301" s="124"/>
      <c r="O301" s="84">
        <f t="shared" si="38"/>
        <v>15000</v>
      </c>
    </row>
    <row r="302" spans="2:15" ht="22.5" customHeight="1">
      <c r="B302" s="80"/>
      <c r="C302" s="81"/>
      <c r="D302" s="82"/>
      <c r="E302" s="80"/>
      <c r="F302" s="83"/>
      <c r="G302" s="83"/>
      <c r="H302" s="83"/>
      <c r="I302" s="83"/>
      <c r="J302" s="83"/>
      <c r="K302" s="91"/>
      <c r="L302" s="126"/>
      <c r="M302" s="126"/>
      <c r="O302" s="84">
        <f t="shared" si="38"/>
        <v>0</v>
      </c>
    </row>
    <row r="303" spans="2:15" ht="22.5" customHeight="1">
      <c r="B303" s="105"/>
      <c r="C303" s="500" t="s">
        <v>301</v>
      </c>
      <c r="D303" s="501"/>
      <c r="E303" s="93"/>
      <c r="F303" s="94"/>
      <c r="G303" s="94"/>
      <c r="H303" s="94">
        <f>SUM(H294:H302)</f>
        <v>180000</v>
      </c>
      <c r="I303" s="94"/>
      <c r="J303" s="94">
        <f>SUM(J294:J302)</f>
        <v>15000</v>
      </c>
      <c r="K303" s="94">
        <f>SUM(K294:K302)</f>
        <v>195000</v>
      </c>
      <c r="L303" s="127"/>
      <c r="M303" s="127"/>
      <c r="O303" s="84">
        <f t="shared" si="38"/>
        <v>0</v>
      </c>
    </row>
    <row r="304" spans="2:15" ht="22.5" customHeight="1">
      <c r="B304" s="105"/>
      <c r="C304" s="92"/>
      <c r="D304" s="95"/>
      <c r="E304" s="93"/>
      <c r="F304" s="94"/>
      <c r="G304" s="94"/>
      <c r="H304" s="94"/>
      <c r="I304" s="94"/>
      <c r="J304" s="94"/>
      <c r="K304" s="94"/>
      <c r="L304" s="127"/>
      <c r="M304" s="127"/>
      <c r="O304" s="84"/>
    </row>
    <row r="305" spans="2:15" ht="22.5" customHeight="1">
      <c r="B305" s="105"/>
      <c r="C305" s="92"/>
      <c r="D305" s="95"/>
      <c r="E305" s="93"/>
      <c r="F305" s="94"/>
      <c r="G305" s="94"/>
      <c r="H305" s="94"/>
      <c r="I305" s="94"/>
      <c r="J305" s="94"/>
      <c r="K305" s="94"/>
      <c r="L305" s="127"/>
      <c r="M305" s="127"/>
      <c r="O305" s="84"/>
    </row>
    <row r="306" spans="2:15" ht="22.5" customHeight="1">
      <c r="B306" s="80"/>
      <c r="C306" s="117" t="s">
        <v>302</v>
      </c>
      <c r="D306" s="74"/>
      <c r="E306" s="75"/>
      <c r="F306" s="83"/>
      <c r="G306" s="83"/>
      <c r="H306" s="91" t="s">
        <v>2</v>
      </c>
      <c r="I306" s="83"/>
      <c r="J306" s="91" t="s">
        <v>2</v>
      </c>
      <c r="K306" s="91" t="s">
        <v>2</v>
      </c>
      <c r="L306" s="126"/>
      <c r="M306" s="126"/>
      <c r="O306" s="84">
        <f aca="true" t="shared" si="42" ref="O306:O311">F306*(G306+I306)</f>
        <v>0</v>
      </c>
    </row>
    <row r="307" spans="2:15" ht="22.5" customHeight="1">
      <c r="B307" s="80">
        <v>1</v>
      </c>
      <c r="C307" s="81" t="s">
        <v>85</v>
      </c>
      <c r="D307" s="82"/>
      <c r="E307" s="80" t="s">
        <v>44</v>
      </c>
      <c r="F307" s="83">
        <v>40</v>
      </c>
      <c r="G307" s="83">
        <v>200</v>
      </c>
      <c r="H307" s="83">
        <f>F307*G307</f>
        <v>8000</v>
      </c>
      <c r="I307" s="83">
        <v>90</v>
      </c>
      <c r="J307" s="83">
        <f>F307*I307</f>
        <v>3600</v>
      </c>
      <c r="K307" s="83">
        <f>H307+J307</f>
        <v>11600</v>
      </c>
      <c r="L307" s="124"/>
      <c r="M307" s="124"/>
      <c r="O307" s="84">
        <f t="shared" si="42"/>
        <v>11600</v>
      </c>
    </row>
    <row r="308" spans="2:15" ht="22.5" customHeight="1">
      <c r="B308" s="80">
        <v>2</v>
      </c>
      <c r="C308" s="81" t="s">
        <v>86</v>
      </c>
      <c r="D308" s="82"/>
      <c r="E308" s="80" t="s">
        <v>52</v>
      </c>
      <c r="F308" s="83">
        <v>1</v>
      </c>
      <c r="G308" s="83">
        <v>8000</v>
      </c>
      <c r="H308" s="83">
        <f>F308*G308</f>
        <v>8000</v>
      </c>
      <c r="I308" s="83">
        <v>1000</v>
      </c>
      <c r="J308" s="83">
        <f>F308*I308</f>
        <v>1000</v>
      </c>
      <c r="K308" s="83">
        <f>H308+J308</f>
        <v>9000</v>
      </c>
      <c r="L308" s="124"/>
      <c r="M308" s="124"/>
      <c r="O308" s="84">
        <f t="shared" si="42"/>
        <v>9000</v>
      </c>
    </row>
    <row r="309" spans="2:15" ht="22.5" customHeight="1">
      <c r="B309" s="80">
        <v>3</v>
      </c>
      <c r="C309" s="81" t="s">
        <v>87</v>
      </c>
      <c r="D309" s="82"/>
      <c r="E309" s="80" t="s">
        <v>19</v>
      </c>
      <c r="F309" s="83">
        <v>40</v>
      </c>
      <c r="G309" s="83">
        <v>300</v>
      </c>
      <c r="H309" s="83">
        <f>F309*G309</f>
        <v>12000</v>
      </c>
      <c r="I309" s="83">
        <v>100</v>
      </c>
      <c r="J309" s="83">
        <f>F309*I309</f>
        <v>4000</v>
      </c>
      <c r="K309" s="83">
        <f>H309+J309</f>
        <v>16000</v>
      </c>
      <c r="L309" s="124"/>
      <c r="M309" s="124"/>
      <c r="O309" s="84">
        <f t="shared" si="42"/>
        <v>16000</v>
      </c>
    </row>
    <row r="310" spans="2:15" ht="22.5" customHeight="1">
      <c r="B310" s="105"/>
      <c r="C310" s="90"/>
      <c r="D310" s="82"/>
      <c r="E310" s="75"/>
      <c r="F310" s="83"/>
      <c r="G310" s="83"/>
      <c r="H310" s="91" t="s">
        <v>2</v>
      </c>
      <c r="I310" s="83"/>
      <c r="J310" s="91" t="s">
        <v>2</v>
      </c>
      <c r="K310" s="91" t="s">
        <v>2</v>
      </c>
      <c r="L310" s="126"/>
      <c r="M310" s="126"/>
      <c r="O310" s="84">
        <f t="shared" si="42"/>
        <v>0</v>
      </c>
    </row>
    <row r="311" spans="2:15" ht="22.5" customHeight="1">
      <c r="B311" s="105"/>
      <c r="C311" s="500" t="s">
        <v>303</v>
      </c>
      <c r="D311" s="501"/>
      <c r="E311" s="93"/>
      <c r="F311" s="94"/>
      <c r="G311" s="94"/>
      <c r="H311" s="94">
        <f>SUM(H306:H310)</f>
        <v>28000</v>
      </c>
      <c r="I311" s="94"/>
      <c r="J311" s="94">
        <f>SUM(J306:J310)</f>
        <v>8600</v>
      </c>
      <c r="K311" s="94">
        <f>SUM(K306:K310)</f>
        <v>36600</v>
      </c>
      <c r="L311" s="127"/>
      <c r="M311" s="127"/>
      <c r="O311" s="84">
        <f t="shared" si="42"/>
        <v>0</v>
      </c>
    </row>
    <row r="312" spans="2:15" ht="22.5" customHeight="1">
      <c r="B312" s="105"/>
      <c r="C312" s="92"/>
      <c r="D312" s="82"/>
      <c r="E312" s="93"/>
      <c r="F312" s="94"/>
      <c r="G312" s="94"/>
      <c r="H312" s="94"/>
      <c r="I312" s="94"/>
      <c r="J312" s="94"/>
      <c r="K312" s="94"/>
      <c r="L312" s="127"/>
      <c r="M312" s="127"/>
      <c r="O312" s="84"/>
    </row>
    <row r="313" spans="2:15" ht="22.5" customHeight="1">
      <c r="B313" s="80"/>
      <c r="C313" s="117" t="s">
        <v>304</v>
      </c>
      <c r="D313" s="74"/>
      <c r="E313" s="75"/>
      <c r="F313" s="83"/>
      <c r="G313" s="83"/>
      <c r="H313" s="91" t="s">
        <v>2</v>
      </c>
      <c r="I313" s="83"/>
      <c r="J313" s="91" t="s">
        <v>2</v>
      </c>
      <c r="K313" s="91" t="s">
        <v>2</v>
      </c>
      <c r="L313" s="126"/>
      <c r="M313" s="126"/>
      <c r="O313" s="84">
        <f aca="true" t="shared" si="43" ref="O313:O322">F313*(G313+I313)</f>
        <v>0</v>
      </c>
    </row>
    <row r="314" spans="2:15" ht="22.5" customHeight="1">
      <c r="B314" s="80">
        <v>1</v>
      </c>
      <c r="C314" s="81" t="s">
        <v>88</v>
      </c>
      <c r="D314" s="82"/>
      <c r="E314" s="75"/>
      <c r="F314" s="83"/>
      <c r="G314" s="83"/>
      <c r="H314" s="91" t="s">
        <v>2</v>
      </c>
      <c r="I314" s="83"/>
      <c r="J314" s="91" t="s">
        <v>2</v>
      </c>
      <c r="K314" s="91" t="s">
        <v>2</v>
      </c>
      <c r="L314" s="126"/>
      <c r="M314" s="126"/>
      <c r="O314" s="84">
        <f t="shared" si="43"/>
        <v>0</v>
      </c>
    </row>
    <row r="315" spans="2:15" ht="22.5" customHeight="1">
      <c r="B315" s="80" t="s">
        <v>2</v>
      </c>
      <c r="C315" s="81" t="s">
        <v>89</v>
      </c>
      <c r="D315" s="82"/>
      <c r="E315" s="80" t="s">
        <v>52</v>
      </c>
      <c r="F315" s="83">
        <v>1</v>
      </c>
      <c r="G315" s="83">
        <v>19000</v>
      </c>
      <c r="H315" s="83">
        <f aca="true" t="shared" si="44" ref="H315:H321">F315*G315</f>
        <v>19000</v>
      </c>
      <c r="I315" s="83">
        <v>1500</v>
      </c>
      <c r="J315" s="83">
        <f aca="true" t="shared" si="45" ref="J315:J321">F315*I315</f>
        <v>1500</v>
      </c>
      <c r="K315" s="83">
        <f aca="true" t="shared" si="46" ref="K315:K321">H315+J315</f>
        <v>20500</v>
      </c>
      <c r="L315" s="124"/>
      <c r="M315" s="124"/>
      <c r="O315" s="84">
        <f t="shared" si="43"/>
        <v>20500</v>
      </c>
    </row>
    <row r="316" spans="2:15" ht="22.5" customHeight="1">
      <c r="B316" s="80">
        <v>2</v>
      </c>
      <c r="C316" s="81" t="s">
        <v>90</v>
      </c>
      <c r="D316" s="82"/>
      <c r="E316" s="80" t="s">
        <v>44</v>
      </c>
      <c r="F316" s="83">
        <v>1</v>
      </c>
      <c r="G316" s="83">
        <v>13700</v>
      </c>
      <c r="H316" s="83">
        <f t="shared" si="44"/>
        <v>13700</v>
      </c>
      <c r="I316" s="83">
        <v>2000</v>
      </c>
      <c r="J316" s="83">
        <f t="shared" si="45"/>
        <v>2000</v>
      </c>
      <c r="K316" s="83">
        <f t="shared" si="46"/>
        <v>15700</v>
      </c>
      <c r="L316" s="124"/>
      <c r="M316" s="124"/>
      <c r="O316" s="84">
        <f t="shared" si="43"/>
        <v>15700</v>
      </c>
    </row>
    <row r="317" spans="2:15" ht="22.5" customHeight="1">
      <c r="B317" s="80">
        <v>3</v>
      </c>
      <c r="C317" s="81" t="s">
        <v>91</v>
      </c>
      <c r="D317" s="82"/>
      <c r="E317" s="80" t="s">
        <v>44</v>
      </c>
      <c r="F317" s="83">
        <v>20</v>
      </c>
      <c r="G317" s="83">
        <v>210</v>
      </c>
      <c r="H317" s="83">
        <f t="shared" si="44"/>
        <v>4200</v>
      </c>
      <c r="I317" s="83">
        <v>90</v>
      </c>
      <c r="J317" s="83">
        <f t="shared" si="45"/>
        <v>1800</v>
      </c>
      <c r="K317" s="83">
        <f t="shared" si="46"/>
        <v>6000</v>
      </c>
      <c r="L317" s="124"/>
      <c r="M317" s="124"/>
      <c r="O317" s="84">
        <f t="shared" si="43"/>
        <v>6000</v>
      </c>
    </row>
    <row r="318" spans="2:15" ht="22.5" customHeight="1">
      <c r="B318" s="80">
        <v>4</v>
      </c>
      <c r="C318" s="81" t="s">
        <v>92</v>
      </c>
      <c r="D318" s="82"/>
      <c r="E318" s="80" t="s">
        <v>44</v>
      </c>
      <c r="F318" s="83">
        <v>5</v>
      </c>
      <c r="G318" s="83">
        <v>400</v>
      </c>
      <c r="H318" s="83">
        <f t="shared" si="44"/>
        <v>2000</v>
      </c>
      <c r="I318" s="83">
        <v>80</v>
      </c>
      <c r="J318" s="83">
        <f t="shared" si="45"/>
        <v>400</v>
      </c>
      <c r="K318" s="83">
        <f t="shared" si="46"/>
        <v>2400</v>
      </c>
      <c r="L318" s="124"/>
      <c r="M318" s="124"/>
      <c r="O318" s="84">
        <f t="shared" si="43"/>
        <v>2400</v>
      </c>
    </row>
    <row r="319" spans="2:15" ht="22.5" customHeight="1">
      <c r="B319" s="80">
        <v>5</v>
      </c>
      <c r="C319" s="81" t="s">
        <v>93</v>
      </c>
      <c r="D319" s="82"/>
      <c r="E319" s="80" t="s">
        <v>44</v>
      </c>
      <c r="F319" s="83">
        <v>10</v>
      </c>
      <c r="G319" s="83">
        <v>650</v>
      </c>
      <c r="H319" s="83">
        <f t="shared" si="44"/>
        <v>6500</v>
      </c>
      <c r="I319" s="83">
        <v>80</v>
      </c>
      <c r="J319" s="83">
        <f t="shared" si="45"/>
        <v>800</v>
      </c>
      <c r="K319" s="83">
        <f t="shared" si="46"/>
        <v>7300</v>
      </c>
      <c r="L319" s="124"/>
      <c r="M319" s="124"/>
      <c r="O319" s="84">
        <f t="shared" si="43"/>
        <v>7300</v>
      </c>
    </row>
    <row r="320" spans="2:15" ht="22.5" customHeight="1">
      <c r="B320" s="80">
        <v>6</v>
      </c>
      <c r="C320" s="81" t="s">
        <v>94</v>
      </c>
      <c r="D320" s="82"/>
      <c r="E320" s="80" t="s">
        <v>19</v>
      </c>
      <c r="F320" s="83">
        <v>20</v>
      </c>
      <c r="G320" s="83">
        <v>300</v>
      </c>
      <c r="H320" s="83">
        <f t="shared" si="44"/>
        <v>6000</v>
      </c>
      <c r="I320" s="83">
        <v>100</v>
      </c>
      <c r="J320" s="83">
        <f t="shared" si="45"/>
        <v>2000</v>
      </c>
      <c r="K320" s="83">
        <f t="shared" si="46"/>
        <v>8000</v>
      </c>
      <c r="L320" s="124"/>
      <c r="M320" s="124"/>
      <c r="O320" s="84">
        <f t="shared" si="43"/>
        <v>8000</v>
      </c>
    </row>
    <row r="321" spans="2:15" ht="22.5" customHeight="1">
      <c r="B321" s="80">
        <v>7</v>
      </c>
      <c r="C321" s="81" t="s">
        <v>95</v>
      </c>
      <c r="D321" s="82"/>
      <c r="E321" s="80" t="s">
        <v>52</v>
      </c>
      <c r="F321" s="83">
        <v>1</v>
      </c>
      <c r="G321" s="83">
        <v>3000</v>
      </c>
      <c r="H321" s="83">
        <f t="shared" si="44"/>
        <v>3000</v>
      </c>
      <c r="I321" s="83">
        <v>1000</v>
      </c>
      <c r="J321" s="83">
        <f t="shared" si="45"/>
        <v>1000</v>
      </c>
      <c r="K321" s="83">
        <f t="shared" si="46"/>
        <v>4000</v>
      </c>
      <c r="L321" s="124"/>
      <c r="M321" s="124"/>
      <c r="O321" s="84">
        <f t="shared" si="43"/>
        <v>4000</v>
      </c>
    </row>
    <row r="322" spans="2:15" ht="22.5" customHeight="1">
      <c r="B322" s="105"/>
      <c r="C322" s="500" t="s">
        <v>305</v>
      </c>
      <c r="D322" s="501"/>
      <c r="E322" s="93"/>
      <c r="F322" s="94"/>
      <c r="G322" s="94"/>
      <c r="H322" s="94">
        <f>SUM(H313:H321)</f>
        <v>54400</v>
      </c>
      <c r="I322" s="94"/>
      <c r="J322" s="94">
        <f>SUM(J313:J321)</f>
        <v>9500</v>
      </c>
      <c r="K322" s="94">
        <f>SUM(K313:K321)</f>
        <v>63900</v>
      </c>
      <c r="L322" s="127"/>
      <c r="M322" s="127"/>
      <c r="O322" s="84">
        <f t="shared" si="43"/>
        <v>0</v>
      </c>
    </row>
    <row r="323" spans="2:15" ht="22.5" customHeight="1">
      <c r="B323" s="80"/>
      <c r="C323" s="117" t="s">
        <v>306</v>
      </c>
      <c r="D323" s="74"/>
      <c r="E323" s="75"/>
      <c r="F323" s="83"/>
      <c r="G323" s="83"/>
      <c r="H323" s="91" t="s">
        <v>2</v>
      </c>
      <c r="I323" s="83"/>
      <c r="J323" s="91" t="s">
        <v>2</v>
      </c>
      <c r="K323" s="91" t="s">
        <v>2</v>
      </c>
      <c r="L323" s="126"/>
      <c r="M323" s="126"/>
      <c r="O323" s="84">
        <f aca="true" t="shared" si="47" ref="O323:O332">F323*(G323+I323)</f>
        <v>0</v>
      </c>
    </row>
    <row r="324" spans="2:15" ht="22.5" customHeight="1">
      <c r="B324" s="80">
        <v>1</v>
      </c>
      <c r="C324" s="81" t="s">
        <v>97</v>
      </c>
      <c r="D324" s="82"/>
      <c r="E324" s="80" t="s">
        <v>44</v>
      </c>
      <c r="F324" s="83">
        <v>60</v>
      </c>
      <c r="G324" s="83">
        <v>2000</v>
      </c>
      <c r="H324" s="83">
        <f>F324*G324</f>
        <v>120000</v>
      </c>
      <c r="I324" s="83">
        <v>80</v>
      </c>
      <c r="J324" s="83">
        <f>F324*I324</f>
        <v>4800</v>
      </c>
      <c r="K324" s="83">
        <f>H324+J324</f>
        <v>124800</v>
      </c>
      <c r="L324" s="124"/>
      <c r="M324" s="124"/>
      <c r="O324" s="84">
        <f t="shared" si="47"/>
        <v>124800</v>
      </c>
    </row>
    <row r="325" spans="2:15" ht="22.5" customHeight="1">
      <c r="B325" s="80">
        <v>2</v>
      </c>
      <c r="C325" s="81" t="s">
        <v>98</v>
      </c>
      <c r="D325" s="82"/>
      <c r="E325" s="80" t="s">
        <v>44</v>
      </c>
      <c r="F325" s="83">
        <v>6</v>
      </c>
      <c r="G325" s="83">
        <v>750</v>
      </c>
      <c r="H325" s="83">
        <f>F325*G325</f>
        <v>4500</v>
      </c>
      <c r="I325" s="83">
        <v>80</v>
      </c>
      <c r="J325" s="83">
        <f>F325*I325</f>
        <v>480</v>
      </c>
      <c r="K325" s="83">
        <f>H325+J325</f>
        <v>4980</v>
      </c>
      <c r="L325" s="124"/>
      <c r="M325" s="124"/>
      <c r="O325" s="84">
        <f t="shared" si="47"/>
        <v>4980</v>
      </c>
    </row>
    <row r="326" spans="2:15" ht="22.5" customHeight="1">
      <c r="B326" s="80">
        <v>3</v>
      </c>
      <c r="C326" s="89" t="s">
        <v>102</v>
      </c>
      <c r="D326" s="82"/>
      <c r="E326" s="80" t="s">
        <v>44</v>
      </c>
      <c r="F326" s="83">
        <v>6</v>
      </c>
      <c r="G326" s="83">
        <v>1450</v>
      </c>
      <c r="H326" s="83">
        <f>F326*G326</f>
        <v>8700</v>
      </c>
      <c r="I326" s="83">
        <v>80</v>
      </c>
      <c r="J326" s="83">
        <f>F326*I326</f>
        <v>480</v>
      </c>
      <c r="K326" s="83">
        <f>H326+J326</f>
        <v>9180</v>
      </c>
      <c r="L326" s="124"/>
      <c r="M326" s="124"/>
      <c r="O326" s="84">
        <f t="shared" si="47"/>
        <v>9180</v>
      </c>
    </row>
    <row r="327" spans="2:15" ht="22.5" customHeight="1">
      <c r="B327" s="80">
        <v>4</v>
      </c>
      <c r="C327" s="81" t="s">
        <v>99</v>
      </c>
      <c r="D327" s="82"/>
      <c r="E327" s="80" t="s">
        <v>19</v>
      </c>
      <c r="F327" s="83">
        <v>60</v>
      </c>
      <c r="G327" s="83">
        <v>300</v>
      </c>
      <c r="H327" s="83">
        <f>F327*G327</f>
        <v>18000</v>
      </c>
      <c r="I327" s="83">
        <v>100</v>
      </c>
      <c r="J327" s="83">
        <f>F327*I327</f>
        <v>6000</v>
      </c>
      <c r="K327" s="83">
        <f>H327+J327</f>
        <v>24000</v>
      </c>
      <c r="L327" s="124"/>
      <c r="M327" s="124"/>
      <c r="O327" s="84">
        <f t="shared" si="47"/>
        <v>24000</v>
      </c>
    </row>
    <row r="328" spans="2:15" ht="22.5" customHeight="1">
      <c r="B328" s="80">
        <v>5</v>
      </c>
      <c r="C328" s="81" t="s">
        <v>100</v>
      </c>
      <c r="D328" s="82"/>
      <c r="E328" s="75"/>
      <c r="F328" s="83"/>
      <c r="G328" s="83"/>
      <c r="H328" s="91" t="s">
        <v>2</v>
      </c>
      <c r="I328" s="83"/>
      <c r="J328" s="91" t="s">
        <v>2</v>
      </c>
      <c r="K328" s="91" t="s">
        <v>2</v>
      </c>
      <c r="L328" s="126"/>
      <c r="M328" s="126"/>
      <c r="O328" s="84">
        <f t="shared" si="47"/>
        <v>0</v>
      </c>
    </row>
    <row r="329" spans="2:15" ht="22.5" customHeight="1">
      <c r="B329" s="80"/>
      <c r="C329" s="81" t="s">
        <v>101</v>
      </c>
      <c r="D329" s="82"/>
      <c r="E329" s="80" t="s">
        <v>52</v>
      </c>
      <c r="F329" s="83">
        <v>1</v>
      </c>
      <c r="G329" s="83">
        <v>4000</v>
      </c>
      <c r="H329" s="83">
        <f>F329*G329</f>
        <v>4000</v>
      </c>
      <c r="I329" s="83">
        <v>1500</v>
      </c>
      <c r="J329" s="83">
        <f>F329*I329</f>
        <v>1500</v>
      </c>
      <c r="K329" s="83">
        <f>H329+J329</f>
        <v>5500</v>
      </c>
      <c r="L329" s="124"/>
      <c r="M329" s="124"/>
      <c r="O329" s="84">
        <f t="shared" si="47"/>
        <v>5500</v>
      </c>
    </row>
    <row r="330" spans="2:15" ht="22.5" customHeight="1">
      <c r="B330" s="80">
        <v>6</v>
      </c>
      <c r="C330" s="81" t="s">
        <v>96</v>
      </c>
      <c r="D330" s="82"/>
      <c r="E330" s="80" t="s">
        <v>44</v>
      </c>
      <c r="F330" s="83">
        <v>1</v>
      </c>
      <c r="G330" s="83">
        <v>43000</v>
      </c>
      <c r="H330" s="83">
        <f>F330*G330</f>
        <v>43000</v>
      </c>
      <c r="I330" s="83">
        <v>3000</v>
      </c>
      <c r="J330" s="83">
        <f>F330*I330</f>
        <v>3000</v>
      </c>
      <c r="K330" s="83">
        <f>H330+J330</f>
        <v>46000</v>
      </c>
      <c r="L330" s="124"/>
      <c r="M330" s="124"/>
      <c r="O330" s="84">
        <f t="shared" si="47"/>
        <v>46000</v>
      </c>
    </row>
    <row r="331" spans="2:15" ht="22.5" customHeight="1">
      <c r="B331" s="105"/>
      <c r="C331" s="81"/>
      <c r="D331" s="82"/>
      <c r="E331" s="80"/>
      <c r="F331" s="83"/>
      <c r="G331" s="83"/>
      <c r="H331" s="83"/>
      <c r="I331" s="83"/>
      <c r="J331" s="83"/>
      <c r="K331" s="83"/>
      <c r="L331" s="124"/>
      <c r="M331" s="124"/>
      <c r="O331" s="84">
        <f t="shared" si="47"/>
        <v>0</v>
      </c>
    </row>
    <row r="332" spans="2:15" ht="22.5" customHeight="1">
      <c r="B332" s="105"/>
      <c r="C332" s="500" t="s">
        <v>307</v>
      </c>
      <c r="D332" s="501"/>
      <c r="E332" s="93"/>
      <c r="F332" s="94"/>
      <c r="G332" s="94"/>
      <c r="H332" s="94">
        <f>SUM(H323:H331)</f>
        <v>198200</v>
      </c>
      <c r="I332" s="94"/>
      <c r="J332" s="94">
        <f>SUM(J323:J331)</f>
        <v>16260</v>
      </c>
      <c r="K332" s="94">
        <f>SUM(K323:K331)</f>
        <v>214460</v>
      </c>
      <c r="L332" s="127"/>
      <c r="M332" s="127"/>
      <c r="O332" s="84">
        <f t="shared" si="47"/>
        <v>0</v>
      </c>
    </row>
    <row r="333" spans="2:15" ht="22.5" customHeight="1">
      <c r="B333" s="80"/>
      <c r="C333" s="118" t="s">
        <v>390</v>
      </c>
      <c r="D333" s="74"/>
      <c r="E333" s="75"/>
      <c r="F333" s="109"/>
      <c r="G333" s="83"/>
      <c r="H333" s="91" t="s">
        <v>2</v>
      </c>
      <c r="I333" s="83"/>
      <c r="J333" s="91" t="s">
        <v>2</v>
      </c>
      <c r="K333" s="91" t="s">
        <v>2</v>
      </c>
      <c r="L333" s="126"/>
      <c r="M333" s="126"/>
      <c r="O333" s="84">
        <f>F333*(G333+I333)</f>
        <v>0</v>
      </c>
    </row>
    <row r="334" spans="2:15" ht="22.5" customHeight="1">
      <c r="B334" s="80">
        <v>1</v>
      </c>
      <c r="C334" s="81" t="s">
        <v>308</v>
      </c>
      <c r="D334" s="110"/>
      <c r="E334" s="75"/>
      <c r="F334" s="109"/>
      <c r="G334" s="109"/>
      <c r="H334" s="91" t="s">
        <v>2</v>
      </c>
      <c r="I334" s="83"/>
      <c r="J334" s="91" t="s">
        <v>2</v>
      </c>
      <c r="K334" s="91" t="s">
        <v>2</v>
      </c>
      <c r="L334" s="126"/>
      <c r="M334" s="126"/>
      <c r="O334" s="84">
        <f>F334*(G334+I334)</f>
        <v>0</v>
      </c>
    </row>
    <row r="335" spans="2:15" ht="22.5" customHeight="1">
      <c r="B335" s="105"/>
      <c r="C335" s="81" t="s">
        <v>105</v>
      </c>
      <c r="D335" s="110"/>
      <c r="E335" s="80" t="s">
        <v>44</v>
      </c>
      <c r="F335" s="109">
        <v>1</v>
      </c>
      <c r="G335" s="83">
        <v>1350000</v>
      </c>
      <c r="H335" s="83">
        <f>F335*G335</f>
        <v>1350000</v>
      </c>
      <c r="I335" s="83">
        <v>0</v>
      </c>
      <c r="J335" s="83">
        <f>F335*I335</f>
        <v>0</v>
      </c>
      <c r="K335" s="83">
        <f>H335+J335</f>
        <v>1350000</v>
      </c>
      <c r="L335" s="124"/>
      <c r="M335" s="305">
        <f>1255500+4*36000</f>
        <v>1399500</v>
      </c>
      <c r="O335" s="84">
        <f>F335*(G335+I335)</f>
        <v>1350000</v>
      </c>
    </row>
    <row r="336" spans="2:15" ht="22.5" customHeight="1">
      <c r="B336" s="105"/>
      <c r="C336" s="90"/>
      <c r="D336" s="110"/>
      <c r="E336" s="75"/>
      <c r="F336" s="109"/>
      <c r="G336" s="109"/>
      <c r="H336" s="91" t="s">
        <v>2</v>
      </c>
      <c r="I336" s="83"/>
      <c r="J336" s="91" t="s">
        <v>2</v>
      </c>
      <c r="K336" s="91" t="s">
        <v>2</v>
      </c>
      <c r="L336" s="126"/>
      <c r="M336" s="126"/>
      <c r="O336" s="84">
        <f>F336*(G336+I336)</f>
        <v>0</v>
      </c>
    </row>
    <row r="337" spans="2:15" ht="22.5" customHeight="1">
      <c r="B337" s="105"/>
      <c r="C337" s="500" t="s">
        <v>391</v>
      </c>
      <c r="D337" s="501"/>
      <c r="E337" s="93"/>
      <c r="F337" s="113"/>
      <c r="G337" s="113"/>
      <c r="H337" s="94">
        <f>SUM(H333:H336)</f>
        <v>1350000</v>
      </c>
      <c r="I337" s="94"/>
      <c r="J337" s="94">
        <f>SUM(J333:J336)</f>
        <v>0</v>
      </c>
      <c r="K337" s="94">
        <f>SUM(K333:K336)</f>
        <v>1350000</v>
      </c>
      <c r="L337" s="127"/>
      <c r="M337" s="127"/>
      <c r="O337" s="84">
        <f>F337*(G337+I337)</f>
        <v>0</v>
      </c>
    </row>
    <row r="338" spans="2:15" ht="22.5" customHeight="1">
      <c r="B338" s="105"/>
      <c r="C338" s="118" t="s">
        <v>309</v>
      </c>
      <c r="D338" s="82"/>
      <c r="E338" s="93"/>
      <c r="F338" s="94"/>
      <c r="G338" s="94"/>
      <c r="H338" s="94"/>
      <c r="I338" s="94"/>
      <c r="J338" s="94"/>
      <c r="K338" s="94"/>
      <c r="L338" s="127"/>
      <c r="M338" s="127"/>
      <c r="O338" s="84">
        <f aca="true" t="shared" si="48" ref="O338:O343">F338*(G338+I338)</f>
        <v>0</v>
      </c>
    </row>
    <row r="339" spans="2:15" ht="22.5" customHeight="1">
      <c r="B339" s="80"/>
      <c r="C339" s="118" t="s">
        <v>310</v>
      </c>
      <c r="D339" s="74"/>
      <c r="E339" s="75"/>
      <c r="F339" s="83"/>
      <c r="G339" s="83"/>
      <c r="H339" s="91" t="s">
        <v>2</v>
      </c>
      <c r="I339" s="83"/>
      <c r="J339" s="91" t="s">
        <v>2</v>
      </c>
      <c r="K339" s="91" t="s">
        <v>2</v>
      </c>
      <c r="L339" s="126"/>
      <c r="M339" s="126"/>
      <c r="O339" s="84">
        <f t="shared" si="48"/>
        <v>0</v>
      </c>
    </row>
    <row r="340" spans="2:15" ht="22.5" customHeight="1">
      <c r="B340" s="80">
        <v>1</v>
      </c>
      <c r="C340" s="81" t="s">
        <v>103</v>
      </c>
      <c r="D340" s="110"/>
      <c r="E340" s="80" t="s">
        <v>44</v>
      </c>
      <c r="F340" s="83">
        <v>20</v>
      </c>
      <c r="G340" s="83">
        <v>35000</v>
      </c>
      <c r="H340" s="83">
        <f>F340*G340</f>
        <v>700000</v>
      </c>
      <c r="I340" s="83">
        <v>0</v>
      </c>
      <c r="J340" s="83">
        <f>F340*I340</f>
        <v>0</v>
      </c>
      <c r="K340" s="83">
        <f>H340+J340</f>
        <v>700000</v>
      </c>
      <c r="L340" s="124"/>
      <c r="M340" s="124">
        <f>1*3900+1.7*4800+1*3500+2.7*9500</f>
        <v>41210</v>
      </c>
      <c r="O340" s="84">
        <f t="shared" si="48"/>
        <v>700000</v>
      </c>
    </row>
    <row r="341" spans="2:15" ht="22.5" customHeight="1">
      <c r="B341" s="105"/>
      <c r="C341" s="90" t="s">
        <v>104</v>
      </c>
      <c r="D341" s="110"/>
      <c r="E341" s="75"/>
      <c r="F341" s="83"/>
      <c r="G341" s="83"/>
      <c r="H341" s="91" t="s">
        <v>2</v>
      </c>
      <c r="I341" s="83"/>
      <c r="J341" s="91" t="s">
        <v>2</v>
      </c>
      <c r="K341" s="91" t="s">
        <v>2</v>
      </c>
      <c r="L341" s="126"/>
      <c r="M341" s="126"/>
      <c r="O341" s="84">
        <f t="shared" si="48"/>
        <v>0</v>
      </c>
    </row>
    <row r="342" spans="2:15" ht="22.5" customHeight="1">
      <c r="B342" s="105"/>
      <c r="C342" s="90"/>
      <c r="D342" s="110"/>
      <c r="E342" s="75"/>
      <c r="F342" s="83"/>
      <c r="G342" s="83"/>
      <c r="H342" s="91"/>
      <c r="I342" s="83"/>
      <c r="J342" s="91"/>
      <c r="K342" s="91"/>
      <c r="L342" s="126"/>
      <c r="M342" s="126"/>
      <c r="O342" s="84">
        <f t="shared" si="48"/>
        <v>0</v>
      </c>
    </row>
    <row r="343" spans="2:15" ht="22.5" customHeight="1">
      <c r="B343" s="105"/>
      <c r="C343" s="500" t="s">
        <v>311</v>
      </c>
      <c r="D343" s="501"/>
      <c r="E343" s="93"/>
      <c r="F343" s="113"/>
      <c r="G343" s="94"/>
      <c r="H343" s="94">
        <f>SUM(H339:H342)</f>
        <v>700000</v>
      </c>
      <c r="I343" s="94"/>
      <c r="J343" s="94">
        <f>SUM(J339:J342)</f>
        <v>0</v>
      </c>
      <c r="K343" s="94">
        <f>SUM(K339:K342)</f>
        <v>700000</v>
      </c>
      <c r="L343" s="127"/>
      <c r="M343" s="127"/>
      <c r="O343" s="84">
        <f t="shared" si="48"/>
        <v>0</v>
      </c>
    </row>
    <row r="344" spans="1:15" ht="22.5" customHeight="1">
      <c r="A344" s="69"/>
      <c r="B344" s="111"/>
      <c r="C344" s="409"/>
      <c r="D344" s="416"/>
      <c r="E344" s="96"/>
      <c r="F344" s="401"/>
      <c r="G344" s="97"/>
      <c r="H344" s="97"/>
      <c r="I344" s="97"/>
      <c r="J344" s="97"/>
      <c r="K344" s="97"/>
      <c r="L344" s="127"/>
      <c r="M344" s="127"/>
      <c r="O344" s="84"/>
    </row>
    <row r="345" spans="1:15" ht="22.5" customHeight="1">
      <c r="A345" s="106"/>
      <c r="B345" s="63"/>
      <c r="C345" s="444"/>
      <c r="D345" s="444"/>
      <c r="E345" s="445"/>
      <c r="F345" s="446"/>
      <c r="G345" s="127"/>
      <c r="H345" s="127"/>
      <c r="I345" s="127"/>
      <c r="J345" s="127"/>
      <c r="K345" s="127"/>
      <c r="L345" s="127"/>
      <c r="M345" s="127"/>
      <c r="O345" s="84"/>
    </row>
    <row r="346" spans="1:15" ht="22.5" customHeight="1">
      <c r="A346" s="106"/>
      <c r="B346" s="63"/>
      <c r="C346" s="444"/>
      <c r="D346" s="444"/>
      <c r="E346" s="445"/>
      <c r="F346" s="446"/>
      <c r="G346" s="127"/>
      <c r="H346" s="127"/>
      <c r="I346" s="127"/>
      <c r="J346" s="127"/>
      <c r="K346" s="127"/>
      <c r="L346" s="127"/>
      <c r="M346" s="127"/>
      <c r="O346" s="84"/>
    </row>
    <row r="347" spans="1:15" ht="22.5" customHeight="1">
      <c r="A347" s="106"/>
      <c r="B347" s="411" t="s">
        <v>467</v>
      </c>
      <c r="C347" s="331"/>
      <c r="D347" s="331"/>
      <c r="E347" s="411"/>
      <c r="F347" s="206"/>
      <c r="G347" s="411" t="s">
        <v>468</v>
      </c>
      <c r="I347" s="411"/>
      <c r="J347" s="411"/>
      <c r="K347" s="127"/>
      <c r="L347" s="127"/>
      <c r="M347" s="127"/>
      <c r="O347" s="84"/>
    </row>
    <row r="348" spans="1:15" ht="22.5" customHeight="1">
      <c r="A348" s="106"/>
      <c r="B348" s="331" t="s">
        <v>469</v>
      </c>
      <c r="C348" s="331"/>
      <c r="D348" s="331"/>
      <c r="E348" s="331"/>
      <c r="F348" s="206"/>
      <c r="G348" s="331" t="s">
        <v>475</v>
      </c>
      <c r="I348" s="331"/>
      <c r="J348" s="331"/>
      <c r="K348" s="127"/>
      <c r="L348" s="127"/>
      <c r="M348" s="127"/>
      <c r="O348" s="84"/>
    </row>
    <row r="349" spans="1:15" ht="22.5" customHeight="1">
      <c r="A349" s="106"/>
      <c r="B349" s="331" t="s">
        <v>470</v>
      </c>
      <c r="C349" s="332"/>
      <c r="D349" s="424"/>
      <c r="E349" s="331"/>
      <c r="F349" s="206"/>
      <c r="G349" s="331" t="s">
        <v>476</v>
      </c>
      <c r="I349" s="332"/>
      <c r="J349" s="424"/>
      <c r="K349" s="127"/>
      <c r="L349" s="127"/>
      <c r="M349" s="127"/>
      <c r="O349" s="84"/>
    </row>
    <row r="350" spans="1:15" ht="22.5" customHeight="1">
      <c r="A350" s="106"/>
      <c r="B350" s="332"/>
      <c r="C350" s="332"/>
      <c r="D350" s="332"/>
      <c r="E350" s="331"/>
      <c r="F350" s="206"/>
      <c r="G350" s="332"/>
      <c r="I350" s="332"/>
      <c r="J350" s="424"/>
      <c r="K350" s="127"/>
      <c r="L350" s="127"/>
      <c r="M350" s="127"/>
      <c r="O350" s="84"/>
    </row>
    <row r="351" spans="1:15" ht="22.5" customHeight="1">
      <c r="A351" s="106"/>
      <c r="B351" s="411" t="s">
        <v>468</v>
      </c>
      <c r="C351" s="331"/>
      <c r="D351" s="331"/>
      <c r="E351" s="411"/>
      <c r="F351" s="206"/>
      <c r="G351" s="411" t="s">
        <v>472</v>
      </c>
      <c r="I351" s="332"/>
      <c r="J351" s="424"/>
      <c r="K351" s="127"/>
      <c r="L351" s="127"/>
      <c r="M351" s="127"/>
      <c r="O351" s="84"/>
    </row>
    <row r="352" spans="1:15" ht="22.5" customHeight="1">
      <c r="A352" s="106"/>
      <c r="B352" s="331" t="s">
        <v>471</v>
      </c>
      <c r="C352" s="332"/>
      <c r="D352" s="332"/>
      <c r="E352" s="331"/>
      <c r="F352" s="206"/>
      <c r="G352" s="331" t="s">
        <v>473</v>
      </c>
      <c r="I352" s="332"/>
      <c r="J352" s="424"/>
      <c r="K352" s="127"/>
      <c r="L352" s="127"/>
      <c r="M352" s="127"/>
      <c r="O352" s="84"/>
    </row>
    <row r="353" spans="1:15" ht="22.5" customHeight="1">
      <c r="A353" s="106"/>
      <c r="B353" s="331" t="s">
        <v>479</v>
      </c>
      <c r="C353" s="332"/>
      <c r="D353" s="332"/>
      <c r="E353" s="331"/>
      <c r="F353" s="206"/>
      <c r="G353" s="331" t="s">
        <v>474</v>
      </c>
      <c r="I353" s="331"/>
      <c r="J353" s="310"/>
      <c r="K353" s="127"/>
      <c r="L353" s="127"/>
      <c r="M353" s="127"/>
      <c r="O353" s="84"/>
    </row>
    <row r="354" spans="1:15" ht="22.5" customHeight="1">
      <c r="A354" s="106"/>
      <c r="B354" s="332"/>
      <c r="C354" s="332"/>
      <c r="D354" s="332"/>
      <c r="E354" s="331"/>
      <c r="F354" s="332"/>
      <c r="G354" s="331"/>
      <c r="H354" s="437"/>
      <c r="I354" s="411"/>
      <c r="J354" s="412"/>
      <c r="K354" s="127"/>
      <c r="L354" s="127"/>
      <c r="M354" s="127"/>
      <c r="O354" s="84"/>
    </row>
    <row r="355" spans="1:15" ht="22.5" customHeight="1">
      <c r="A355" s="106"/>
      <c r="B355" s="411" t="s">
        <v>472</v>
      </c>
      <c r="C355" s="331"/>
      <c r="D355" s="331"/>
      <c r="E355" s="411"/>
      <c r="F355" s="411"/>
      <c r="G355" s="411"/>
      <c r="H355" s="437"/>
      <c r="I355" s="411"/>
      <c r="J355" s="412"/>
      <c r="K355" s="127"/>
      <c r="L355" s="127"/>
      <c r="M355" s="127"/>
      <c r="O355" s="84"/>
    </row>
    <row r="356" spans="1:15" ht="22.5" customHeight="1">
      <c r="A356" s="106"/>
      <c r="B356" s="331" t="s">
        <v>477</v>
      </c>
      <c r="C356" s="332"/>
      <c r="D356" s="332"/>
      <c r="E356" s="331"/>
      <c r="F356" s="331"/>
      <c r="G356" s="331"/>
      <c r="H356" s="437"/>
      <c r="I356" s="331"/>
      <c r="J356" s="412"/>
      <c r="K356" s="127"/>
      <c r="L356" s="127"/>
      <c r="M356" s="127"/>
      <c r="O356" s="84"/>
    </row>
    <row r="357" spans="1:15" ht="22.5" customHeight="1">
      <c r="A357" s="106"/>
      <c r="B357" s="331" t="s">
        <v>478</v>
      </c>
      <c r="C357" s="332"/>
      <c r="D357" s="332"/>
      <c r="E357" s="331"/>
      <c r="F357" s="331"/>
      <c r="G357" s="331"/>
      <c r="H357" s="437"/>
      <c r="I357" s="331"/>
      <c r="J357" s="412"/>
      <c r="K357" s="127"/>
      <c r="L357" s="127"/>
      <c r="M357" s="127"/>
      <c r="O357" s="84"/>
    </row>
    <row r="358" spans="1:15" ht="22.5" customHeight="1">
      <c r="A358" s="106"/>
      <c r="B358" s="206"/>
      <c r="C358" s="332"/>
      <c r="D358" s="332"/>
      <c r="E358" s="332"/>
      <c r="F358" s="413"/>
      <c r="G358" s="400"/>
      <c r="H358" s="331"/>
      <c r="I358" s="331"/>
      <c r="J358" s="412"/>
      <c r="K358" s="127"/>
      <c r="L358" s="127"/>
      <c r="M358" s="127"/>
      <c r="O358" s="84"/>
    </row>
    <row r="359" spans="1:15" ht="22.5" customHeight="1">
      <c r="A359" s="106"/>
      <c r="B359" s="63"/>
      <c r="C359" s="444"/>
      <c r="D359" s="444"/>
      <c r="E359" s="445"/>
      <c r="F359" s="446"/>
      <c r="G359" s="127"/>
      <c r="H359" s="127"/>
      <c r="I359" s="127"/>
      <c r="J359" s="127"/>
      <c r="K359" s="127"/>
      <c r="L359" s="127"/>
      <c r="M359" s="127"/>
      <c r="O359" s="84"/>
    </row>
    <row r="360" spans="1:15" ht="22.5" customHeight="1">
      <c r="A360" s="106"/>
      <c r="B360" s="63"/>
      <c r="C360" s="444"/>
      <c r="D360" s="444"/>
      <c r="E360" s="445"/>
      <c r="F360" s="446"/>
      <c r="G360" s="127"/>
      <c r="H360" s="127"/>
      <c r="I360" s="127"/>
      <c r="J360" s="127"/>
      <c r="K360" s="127"/>
      <c r="L360" s="127"/>
      <c r="M360" s="127"/>
      <c r="O360" s="84"/>
    </row>
    <row r="361" spans="1:15" ht="22.5" customHeight="1">
      <c r="A361" s="106"/>
      <c r="B361" s="63"/>
      <c r="C361" s="444"/>
      <c r="D361" s="444"/>
      <c r="E361" s="445"/>
      <c r="F361" s="446"/>
      <c r="G361" s="127"/>
      <c r="H361" s="127"/>
      <c r="I361" s="127"/>
      <c r="J361" s="127"/>
      <c r="K361" s="127"/>
      <c r="L361" s="127"/>
      <c r="M361" s="127"/>
      <c r="O361" s="84"/>
    </row>
    <row r="362" spans="1:15" ht="22.5" customHeight="1">
      <c r="A362" s="106"/>
      <c r="B362" s="63"/>
      <c r="C362" s="444"/>
      <c r="D362" s="444"/>
      <c r="E362" s="445"/>
      <c r="F362" s="446"/>
      <c r="G362" s="127"/>
      <c r="H362" s="127"/>
      <c r="I362" s="127"/>
      <c r="J362" s="127"/>
      <c r="K362" s="127"/>
      <c r="L362" s="127"/>
      <c r="M362" s="127"/>
      <c r="O362" s="84"/>
    </row>
    <row r="363" spans="1:15" ht="22.5" customHeight="1">
      <c r="A363" s="106"/>
      <c r="B363" s="63"/>
      <c r="C363" s="444"/>
      <c r="D363" s="444"/>
      <c r="E363" s="445"/>
      <c r="F363" s="446"/>
      <c r="G363" s="127"/>
      <c r="H363" s="127"/>
      <c r="I363" s="127"/>
      <c r="J363" s="127"/>
      <c r="K363" s="127"/>
      <c r="L363" s="127"/>
      <c r="M363" s="127"/>
      <c r="O363" s="84"/>
    </row>
    <row r="364" spans="1:15" ht="22.5" customHeight="1">
      <c r="A364" s="106"/>
      <c r="B364" s="63"/>
      <c r="C364" s="444"/>
      <c r="D364" s="444"/>
      <c r="E364" s="445"/>
      <c r="F364" s="446"/>
      <c r="G364" s="127"/>
      <c r="H364" s="127"/>
      <c r="I364" s="127"/>
      <c r="J364" s="127"/>
      <c r="K364" s="127"/>
      <c r="L364" s="127"/>
      <c r="M364" s="127"/>
      <c r="O364" s="84"/>
    </row>
    <row r="365" spans="1:15" ht="22.5" customHeight="1">
      <c r="A365" s="106"/>
      <c r="B365" s="63"/>
      <c r="C365" s="444"/>
      <c r="D365" s="444"/>
      <c r="E365" s="445"/>
      <c r="F365" s="446"/>
      <c r="G365" s="127"/>
      <c r="H365" s="127"/>
      <c r="I365" s="127"/>
      <c r="J365" s="127"/>
      <c r="K365" s="127"/>
      <c r="L365" s="127"/>
      <c r="M365" s="127"/>
      <c r="O365" s="84"/>
    </row>
    <row r="366" spans="1:15" ht="22.5" customHeight="1">
      <c r="A366" s="106"/>
      <c r="B366" s="63"/>
      <c r="C366" s="444"/>
      <c r="D366" s="444"/>
      <c r="E366" s="445"/>
      <c r="F366" s="446"/>
      <c r="G366" s="446"/>
      <c r="H366" s="127"/>
      <c r="I366" s="127"/>
      <c r="J366" s="127"/>
      <c r="K366" s="127"/>
      <c r="L366" s="127"/>
      <c r="M366" s="127"/>
      <c r="O366" s="84"/>
    </row>
  </sheetData>
  <sheetProtection/>
  <mergeCells count="21">
    <mergeCell ref="C96:D96"/>
    <mergeCell ref="B1:K1"/>
    <mergeCell ref="C121:D121"/>
    <mergeCell ref="J2:K2"/>
    <mergeCell ref="C42:D42"/>
    <mergeCell ref="C66:D66"/>
    <mergeCell ref="C81:D81"/>
    <mergeCell ref="J3:K3"/>
    <mergeCell ref="C161:D161"/>
    <mergeCell ref="C311:D311"/>
    <mergeCell ref="C241:D241"/>
    <mergeCell ref="C291:D291"/>
    <mergeCell ref="C303:D303"/>
    <mergeCell ref="C115:D115"/>
    <mergeCell ref="C147:D147"/>
    <mergeCell ref="C343:D343"/>
    <mergeCell ref="C337:D337"/>
    <mergeCell ref="C166:D166"/>
    <mergeCell ref="C332:D332"/>
    <mergeCell ref="C322:D322"/>
    <mergeCell ref="C178:D178"/>
  </mergeCells>
  <printOptions/>
  <pageMargins left="0.35433070866141736" right="0" top="0.6692913385826772" bottom="0.31496062992125984" header="0.2755905511811024" footer="0.2362204724409449"/>
  <pageSetup horizontalDpi="300" verticalDpi="300" orientation="portrait" paperSize="9" scale="90" r:id="rId1"/>
  <headerFooter alignWithMargins="0">
    <oddHeader xml:space="preserve">&amp;R&amp;"TH SarabunPSK,Regular"&amp;14แบบ ปร.4  
 แผ่นที่   &amp;P+2/12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0"/>
  <sheetViews>
    <sheetView zoomScalePageLayoutView="0" workbookViewId="0" topLeftCell="A1">
      <selection activeCell="V10" sqref="V10:AA16"/>
    </sheetView>
  </sheetViews>
  <sheetFormatPr defaultColWidth="9.16015625" defaultRowHeight="21" customHeight="1"/>
  <cols>
    <col min="1" max="1" width="3.5" style="30" customWidth="1"/>
    <col min="2" max="2" width="4.16015625" style="30" customWidth="1"/>
    <col min="3" max="3" width="8.83203125" style="30" customWidth="1"/>
    <col min="4" max="4" width="9.83203125" style="30" customWidth="1"/>
    <col min="5" max="5" width="4.5" style="30" customWidth="1"/>
    <col min="6" max="9" width="13.16015625" style="30" customWidth="1"/>
    <col min="10" max="10" width="10.5" style="30" customWidth="1"/>
    <col min="11" max="11" width="3.83203125" style="30" customWidth="1"/>
    <col min="12" max="12" width="11" style="30" customWidth="1"/>
    <col min="13" max="13" width="4.16015625" style="30" customWidth="1"/>
    <col min="14" max="14" width="3.5" style="30" customWidth="1"/>
    <col min="15" max="22" width="9.16015625" style="30" customWidth="1"/>
    <col min="23" max="23" width="10.16015625" style="30" bestFit="1" customWidth="1"/>
    <col min="24" max="24" width="9.16015625" style="30" customWidth="1"/>
    <col min="25" max="25" width="9.83203125" style="30" bestFit="1" customWidth="1"/>
    <col min="26" max="16384" width="9.16015625" style="30" customWidth="1"/>
  </cols>
  <sheetData>
    <row r="1" spans="1:14" ht="21">
      <c r="A1" s="1"/>
      <c r="B1" s="1"/>
      <c r="C1" s="1"/>
      <c r="D1" s="1"/>
      <c r="E1" s="1"/>
      <c r="F1" s="2" t="s">
        <v>109</v>
      </c>
      <c r="G1" s="1"/>
      <c r="H1" s="1"/>
      <c r="I1" s="1"/>
      <c r="J1" s="1"/>
      <c r="K1" s="1"/>
      <c r="L1" s="2" t="s">
        <v>110</v>
      </c>
      <c r="M1" s="1"/>
      <c r="N1" s="1"/>
    </row>
    <row r="2" spans="1:14" ht="21">
      <c r="A2" s="1"/>
      <c r="B2" s="3" t="s">
        <v>161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ht="21">
      <c r="A3" s="1"/>
      <c r="B3" s="3" t="s">
        <v>160</v>
      </c>
      <c r="C3" s="3"/>
      <c r="D3" s="3"/>
      <c r="E3" s="3"/>
      <c r="F3" s="4" t="s">
        <v>162</v>
      </c>
      <c r="G3" s="3"/>
      <c r="H3" s="3"/>
      <c r="I3" s="3"/>
      <c r="J3" s="3"/>
      <c r="K3" s="3"/>
      <c r="L3" s="3"/>
      <c r="M3" s="3"/>
      <c r="N3" s="1"/>
    </row>
    <row r="4" spans="1:14" ht="21">
      <c r="A4" s="1"/>
      <c r="B4" s="31" t="s">
        <v>111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1:14" ht="21">
      <c r="A5" s="1"/>
      <c r="B5" s="4" t="s">
        <v>159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</row>
    <row r="6" spans="1:14" ht="21">
      <c r="A6" s="1"/>
      <c r="B6" s="4" t="s">
        <v>112</v>
      </c>
      <c r="C6" s="3"/>
      <c r="D6" s="3"/>
      <c r="E6" s="3"/>
      <c r="F6" s="4" t="s">
        <v>113</v>
      </c>
      <c r="G6" s="3"/>
      <c r="H6" s="3"/>
      <c r="I6" s="3"/>
      <c r="J6" s="3"/>
      <c r="K6" s="3"/>
      <c r="L6" s="3"/>
      <c r="M6" s="3"/>
      <c r="N6" s="1"/>
    </row>
    <row r="7" spans="1:14" ht="21">
      <c r="A7" s="1"/>
      <c r="B7" s="2" t="s">
        <v>114</v>
      </c>
      <c r="C7" s="1"/>
      <c r="D7" s="1"/>
      <c r="E7" s="1"/>
      <c r="F7" s="2" t="s">
        <v>115</v>
      </c>
      <c r="G7" s="1"/>
      <c r="H7" s="1"/>
      <c r="I7" s="2" t="s">
        <v>116</v>
      </c>
      <c r="J7" s="1"/>
      <c r="K7" s="1"/>
      <c r="L7" s="1"/>
      <c r="M7" s="1"/>
      <c r="N7" s="1"/>
    </row>
    <row r="8" spans="1:14" ht="21">
      <c r="A8" s="1"/>
      <c r="B8" s="5" t="s">
        <v>117</v>
      </c>
      <c r="C8" s="5" t="s">
        <v>118</v>
      </c>
      <c r="D8" s="6" t="s">
        <v>119</v>
      </c>
      <c r="E8" s="7"/>
      <c r="F8" s="5" t="s">
        <v>120</v>
      </c>
      <c r="G8" s="5" t="s">
        <v>121</v>
      </c>
      <c r="H8" s="5" t="s">
        <v>120</v>
      </c>
      <c r="I8" s="8" t="s">
        <v>122</v>
      </c>
      <c r="J8" s="6" t="s">
        <v>123</v>
      </c>
      <c r="K8" s="9"/>
      <c r="L8" s="6" t="s">
        <v>124</v>
      </c>
      <c r="M8" s="7"/>
      <c r="N8" s="1"/>
    </row>
    <row r="9" spans="1:14" ht="21">
      <c r="A9" s="1"/>
      <c r="B9" s="10" t="s">
        <v>125</v>
      </c>
      <c r="C9" s="10" t="s">
        <v>126</v>
      </c>
      <c r="D9" s="11" t="s">
        <v>127</v>
      </c>
      <c r="E9" s="12"/>
      <c r="F9" s="10" t="s">
        <v>128</v>
      </c>
      <c r="G9" s="13"/>
      <c r="H9" s="14" t="s">
        <v>129</v>
      </c>
      <c r="I9" s="13"/>
      <c r="J9" s="15"/>
      <c r="K9" s="16"/>
      <c r="L9" s="11" t="s">
        <v>130</v>
      </c>
      <c r="M9" s="12"/>
      <c r="N9" s="1"/>
    </row>
    <row r="10" spans="1:14" ht="21">
      <c r="A10" s="1"/>
      <c r="B10" s="17" t="s">
        <v>131</v>
      </c>
      <c r="C10" s="18" t="s">
        <v>132</v>
      </c>
      <c r="D10" s="32">
        <v>4.36</v>
      </c>
      <c r="E10" s="20" t="s">
        <v>133</v>
      </c>
      <c r="F10" s="44"/>
      <c r="G10" s="45">
        <f>D10+F10</f>
        <v>4.36</v>
      </c>
      <c r="H10" s="46">
        <f aca="true" t="shared" si="0" ref="H10:H20">+G10*0.2</f>
        <v>0.8720000000000001</v>
      </c>
      <c r="I10" s="47">
        <f aca="true" t="shared" si="1" ref="I10:I21">+G10-H10</f>
        <v>3.4880000000000004</v>
      </c>
      <c r="J10" s="19">
        <v>3.5</v>
      </c>
      <c r="K10" s="20" t="s">
        <v>133</v>
      </c>
      <c r="L10" s="21">
        <v>80</v>
      </c>
      <c r="M10" s="20" t="s">
        <v>134</v>
      </c>
      <c r="N10" s="1"/>
    </row>
    <row r="11" spans="1:25" ht="21">
      <c r="A11" s="1"/>
      <c r="B11" s="34" t="s">
        <v>135</v>
      </c>
      <c r="C11" s="35" t="s">
        <v>136</v>
      </c>
      <c r="D11" s="36">
        <v>2.99</v>
      </c>
      <c r="E11" s="37" t="s">
        <v>133</v>
      </c>
      <c r="F11" s="44">
        <f aca="true" t="shared" si="2" ref="F11:F21">+H10</f>
        <v>0.8720000000000001</v>
      </c>
      <c r="G11" s="44">
        <f aca="true" t="shared" si="3" ref="G11:G21">+D11+F11</f>
        <v>3.862</v>
      </c>
      <c r="H11" s="44">
        <f t="shared" si="0"/>
        <v>0.7724000000000001</v>
      </c>
      <c r="I11" s="44">
        <f t="shared" si="1"/>
        <v>3.0896</v>
      </c>
      <c r="J11" s="39">
        <v>3.1</v>
      </c>
      <c r="K11" s="37" t="s">
        <v>133</v>
      </c>
      <c r="L11" s="39">
        <v>30</v>
      </c>
      <c r="M11" s="37" t="s">
        <v>134</v>
      </c>
      <c r="N11" s="1"/>
      <c r="W11" s="30">
        <v>1.2518</v>
      </c>
      <c r="Y11" s="30">
        <f>W11-W12</f>
        <v>0.026999999999999913</v>
      </c>
    </row>
    <row r="12" spans="1:27" ht="21">
      <c r="A12" s="1"/>
      <c r="B12" s="34" t="s">
        <v>137</v>
      </c>
      <c r="C12" s="35" t="s">
        <v>138</v>
      </c>
      <c r="D12" s="36">
        <v>4.32</v>
      </c>
      <c r="E12" s="37" t="s">
        <v>133</v>
      </c>
      <c r="F12" s="44">
        <f t="shared" si="2"/>
        <v>0.7724000000000001</v>
      </c>
      <c r="G12" s="44">
        <f t="shared" si="3"/>
        <v>5.0924000000000005</v>
      </c>
      <c r="H12" s="44">
        <f t="shared" si="0"/>
        <v>1.01848</v>
      </c>
      <c r="I12" s="44">
        <f t="shared" si="1"/>
        <v>4.07392</v>
      </c>
      <c r="J12" s="39">
        <v>4.1</v>
      </c>
      <c r="K12" s="37" t="s">
        <v>133</v>
      </c>
      <c r="L12" s="39">
        <v>25</v>
      </c>
      <c r="M12" s="37" t="s">
        <v>134</v>
      </c>
      <c r="N12" s="1"/>
      <c r="W12" s="30">
        <v>1.2248</v>
      </c>
      <c r="Y12" s="460">
        <f>W13-W14</f>
        <v>41374.350199997425</v>
      </c>
      <c r="AA12" s="30">
        <f>Y11*Y12</f>
        <v>1117.107455399927</v>
      </c>
    </row>
    <row r="13" spans="1:27" ht="21">
      <c r="A13" s="1"/>
      <c r="B13" s="34" t="s">
        <v>139</v>
      </c>
      <c r="C13" s="40" t="s">
        <v>140</v>
      </c>
      <c r="D13" s="36">
        <v>4.17</v>
      </c>
      <c r="E13" s="37" t="s">
        <v>133</v>
      </c>
      <c r="F13" s="44">
        <f t="shared" si="2"/>
        <v>1.01848</v>
      </c>
      <c r="G13" s="44">
        <f t="shared" si="3"/>
        <v>5.18848</v>
      </c>
      <c r="H13" s="44">
        <f t="shared" si="0"/>
        <v>1.0376960000000002</v>
      </c>
      <c r="I13" s="44">
        <f t="shared" si="1"/>
        <v>4.150784</v>
      </c>
      <c r="J13" s="39">
        <v>4.1</v>
      </c>
      <c r="K13" s="37" t="s">
        <v>133</v>
      </c>
      <c r="L13" s="39">
        <v>25</v>
      </c>
      <c r="M13" s="37" t="s">
        <v>134</v>
      </c>
      <c r="N13" s="1"/>
      <c r="W13" s="460">
        <f>ใบสรุปราคา!H15</f>
        <v>20041374.350199997</v>
      </c>
      <c r="Y13" s="30">
        <f>W15-W14</f>
        <v>5000000</v>
      </c>
      <c r="AA13" s="30">
        <f>AA12/Y13</f>
        <v>0.0002234214910799854</v>
      </c>
    </row>
    <row r="14" spans="1:27" ht="21">
      <c r="A14" s="1"/>
      <c r="B14" s="34" t="s">
        <v>141</v>
      </c>
      <c r="C14" s="40" t="s">
        <v>140</v>
      </c>
      <c r="D14" s="36">
        <v>4.13</v>
      </c>
      <c r="E14" s="37" t="s">
        <v>133</v>
      </c>
      <c r="F14" s="44">
        <f t="shared" si="2"/>
        <v>1.0376960000000002</v>
      </c>
      <c r="G14" s="44">
        <f t="shared" si="3"/>
        <v>5.167696</v>
      </c>
      <c r="H14" s="44">
        <f t="shared" si="0"/>
        <v>1.0335392</v>
      </c>
      <c r="I14" s="44">
        <f t="shared" si="1"/>
        <v>4.1341568</v>
      </c>
      <c r="J14" s="41">
        <v>4.1</v>
      </c>
      <c r="K14" s="37" t="s">
        <v>133</v>
      </c>
      <c r="L14" s="39">
        <v>25</v>
      </c>
      <c r="M14" s="37" t="s">
        <v>134</v>
      </c>
      <c r="N14" s="1"/>
      <c r="W14" s="30">
        <v>20000000</v>
      </c>
      <c r="AA14" s="30">
        <f>W11-AA13</f>
        <v>1.2515765785089201</v>
      </c>
    </row>
    <row r="15" spans="1:23" ht="21">
      <c r="A15" s="1"/>
      <c r="B15" s="34" t="s">
        <v>142</v>
      </c>
      <c r="C15" s="40" t="s">
        <v>140</v>
      </c>
      <c r="D15" s="36">
        <v>5.12</v>
      </c>
      <c r="E15" s="37" t="s">
        <v>133</v>
      </c>
      <c r="F15" s="44">
        <f t="shared" si="2"/>
        <v>1.0335392</v>
      </c>
      <c r="G15" s="44">
        <f t="shared" si="3"/>
        <v>6.1535392</v>
      </c>
      <c r="H15" s="44">
        <f t="shared" si="0"/>
        <v>1.23070784</v>
      </c>
      <c r="I15" s="44">
        <f t="shared" si="1"/>
        <v>4.92283136</v>
      </c>
      <c r="J15" s="41">
        <v>4.9</v>
      </c>
      <c r="K15" s="37" t="s">
        <v>133</v>
      </c>
      <c r="L15" s="39">
        <v>30</v>
      </c>
      <c r="M15" s="37" t="s">
        <v>134</v>
      </c>
      <c r="N15" s="1"/>
      <c r="W15" s="30">
        <v>25000000</v>
      </c>
    </row>
    <row r="16" spans="1:14" ht="21">
      <c r="A16" s="1"/>
      <c r="B16" s="34" t="s">
        <v>143</v>
      </c>
      <c r="C16" s="40" t="s">
        <v>140</v>
      </c>
      <c r="D16" s="36">
        <v>5.01</v>
      </c>
      <c r="E16" s="37" t="s">
        <v>133</v>
      </c>
      <c r="F16" s="44">
        <f t="shared" si="2"/>
        <v>1.23070784</v>
      </c>
      <c r="G16" s="44">
        <f t="shared" si="3"/>
        <v>6.24070784</v>
      </c>
      <c r="H16" s="44">
        <f t="shared" si="0"/>
        <v>1.248141568</v>
      </c>
      <c r="I16" s="44">
        <f t="shared" si="1"/>
        <v>4.9925662719999995</v>
      </c>
      <c r="J16" s="41">
        <v>5</v>
      </c>
      <c r="K16" s="37" t="s">
        <v>133</v>
      </c>
      <c r="L16" s="39">
        <v>30</v>
      </c>
      <c r="M16" s="37" t="s">
        <v>134</v>
      </c>
      <c r="N16" s="1"/>
    </row>
    <row r="17" spans="1:14" ht="21">
      <c r="A17" s="1"/>
      <c r="B17" s="34" t="s">
        <v>144</v>
      </c>
      <c r="C17" s="40" t="s">
        <v>140</v>
      </c>
      <c r="D17" s="36">
        <v>5.02</v>
      </c>
      <c r="E17" s="37" t="s">
        <v>133</v>
      </c>
      <c r="F17" s="44">
        <f t="shared" si="2"/>
        <v>1.248141568</v>
      </c>
      <c r="G17" s="44">
        <f t="shared" si="3"/>
        <v>6.268141568</v>
      </c>
      <c r="H17" s="44">
        <f t="shared" si="0"/>
        <v>1.2536283136000002</v>
      </c>
      <c r="I17" s="44">
        <f t="shared" si="1"/>
        <v>5.0145132544</v>
      </c>
      <c r="J17" s="41">
        <v>5</v>
      </c>
      <c r="K17" s="37" t="s">
        <v>133</v>
      </c>
      <c r="L17" s="39">
        <v>30</v>
      </c>
      <c r="M17" s="37" t="s">
        <v>134</v>
      </c>
      <c r="N17" s="1"/>
    </row>
    <row r="18" spans="1:14" ht="21">
      <c r="A18" s="1"/>
      <c r="B18" s="34" t="s">
        <v>145</v>
      </c>
      <c r="C18" s="40" t="s">
        <v>140</v>
      </c>
      <c r="D18" s="36">
        <v>7.95</v>
      </c>
      <c r="E18" s="37" t="s">
        <v>133</v>
      </c>
      <c r="F18" s="44">
        <f t="shared" si="2"/>
        <v>1.2536283136000002</v>
      </c>
      <c r="G18" s="44">
        <f t="shared" si="3"/>
        <v>9.2036283136</v>
      </c>
      <c r="H18" s="44">
        <f t="shared" si="0"/>
        <v>1.84072566272</v>
      </c>
      <c r="I18" s="44">
        <f t="shared" si="1"/>
        <v>7.36290265088</v>
      </c>
      <c r="J18" s="39">
        <v>7.4</v>
      </c>
      <c r="K18" s="37" t="s">
        <v>133</v>
      </c>
      <c r="L18" s="39">
        <v>30</v>
      </c>
      <c r="M18" s="37" t="s">
        <v>134</v>
      </c>
      <c r="N18" s="1"/>
    </row>
    <row r="19" spans="1:14" ht="21">
      <c r="A19" s="1"/>
      <c r="B19" s="34" t="s">
        <v>146</v>
      </c>
      <c r="C19" s="40" t="s">
        <v>140</v>
      </c>
      <c r="D19" s="36">
        <v>14.97</v>
      </c>
      <c r="E19" s="37" t="s">
        <v>133</v>
      </c>
      <c r="F19" s="44">
        <f t="shared" si="2"/>
        <v>1.84072566272</v>
      </c>
      <c r="G19" s="44">
        <f t="shared" si="3"/>
        <v>16.81072566272</v>
      </c>
      <c r="H19" s="44">
        <f t="shared" si="0"/>
        <v>3.362145132544</v>
      </c>
      <c r="I19" s="44">
        <f t="shared" si="1"/>
        <v>13.448580530175999</v>
      </c>
      <c r="J19" s="39">
        <v>13.5</v>
      </c>
      <c r="K19" s="37" t="s">
        <v>133</v>
      </c>
      <c r="L19" s="39">
        <v>30</v>
      </c>
      <c r="M19" s="37" t="s">
        <v>134</v>
      </c>
      <c r="N19" s="1"/>
    </row>
    <row r="20" spans="1:14" ht="21">
      <c r="A20" s="1"/>
      <c r="B20" s="34" t="s">
        <v>147</v>
      </c>
      <c r="C20" s="40" t="s">
        <v>140</v>
      </c>
      <c r="D20" s="36">
        <v>29.56</v>
      </c>
      <c r="E20" s="37" t="s">
        <v>133</v>
      </c>
      <c r="F20" s="44">
        <f t="shared" si="2"/>
        <v>3.362145132544</v>
      </c>
      <c r="G20" s="44">
        <f t="shared" si="3"/>
        <v>32.922145132543996</v>
      </c>
      <c r="H20" s="44">
        <f t="shared" si="0"/>
        <v>6.5844290265088</v>
      </c>
      <c r="I20" s="44">
        <f t="shared" si="1"/>
        <v>26.337716106035195</v>
      </c>
      <c r="J20" s="41">
        <v>26.34</v>
      </c>
      <c r="K20" s="37" t="s">
        <v>133</v>
      </c>
      <c r="L20" s="39">
        <v>35</v>
      </c>
      <c r="M20" s="37" t="s">
        <v>134</v>
      </c>
      <c r="N20" s="1"/>
    </row>
    <row r="21" spans="1:14" ht="21">
      <c r="A21" s="1"/>
      <c r="B21" s="34" t="s">
        <v>148</v>
      </c>
      <c r="C21" s="40" t="s">
        <v>140</v>
      </c>
      <c r="D21" s="36">
        <v>12.4</v>
      </c>
      <c r="E21" s="37" t="s">
        <v>133</v>
      </c>
      <c r="F21" s="44">
        <f t="shared" si="2"/>
        <v>6.5844290265088</v>
      </c>
      <c r="G21" s="44">
        <f t="shared" si="3"/>
        <v>18.9844290265088</v>
      </c>
      <c r="H21" s="44"/>
      <c r="I21" s="44">
        <f t="shared" si="1"/>
        <v>18.9844290265088</v>
      </c>
      <c r="J21" s="41">
        <v>19</v>
      </c>
      <c r="K21" s="37" t="s">
        <v>133</v>
      </c>
      <c r="L21" s="39">
        <v>30</v>
      </c>
      <c r="M21" s="37" t="s">
        <v>134</v>
      </c>
      <c r="N21" s="1"/>
    </row>
    <row r="22" spans="1:14" ht="21">
      <c r="A22" s="1"/>
      <c r="B22" s="34"/>
      <c r="C22" s="40"/>
      <c r="D22" s="36"/>
      <c r="E22" s="37"/>
      <c r="F22" s="33"/>
      <c r="G22" s="33"/>
      <c r="H22" s="33"/>
      <c r="I22" s="38"/>
      <c r="J22" s="39"/>
      <c r="K22" s="37"/>
      <c r="L22" s="39"/>
      <c r="M22" s="37"/>
      <c r="N22" s="1"/>
    </row>
    <row r="23" spans="1:14" ht="21">
      <c r="A23" s="1"/>
      <c r="B23" s="34"/>
      <c r="C23" s="40"/>
      <c r="D23" s="36"/>
      <c r="E23" s="37"/>
      <c r="F23" s="33"/>
      <c r="G23" s="33"/>
      <c r="H23" s="33"/>
      <c r="I23" s="38"/>
      <c r="J23" s="39"/>
      <c r="K23" s="37"/>
      <c r="L23" s="39"/>
      <c r="M23" s="37"/>
      <c r="N23" s="1"/>
    </row>
    <row r="24" spans="1:14" ht="21">
      <c r="A24" s="1"/>
      <c r="B24" s="34"/>
      <c r="C24" s="40"/>
      <c r="D24" s="36"/>
      <c r="E24" s="37"/>
      <c r="F24" s="33"/>
      <c r="G24" s="33"/>
      <c r="H24" s="33"/>
      <c r="I24" s="38"/>
      <c r="J24" s="39"/>
      <c r="K24" s="37"/>
      <c r="L24" s="39"/>
      <c r="M24" s="37"/>
      <c r="N24" s="1"/>
    </row>
    <row r="25" spans="1:14" ht="21">
      <c r="A25" s="1"/>
      <c r="B25" s="34"/>
      <c r="C25" s="40"/>
      <c r="D25" s="36"/>
      <c r="E25" s="37"/>
      <c r="F25" s="33"/>
      <c r="G25" s="33"/>
      <c r="H25" s="33"/>
      <c r="I25" s="38"/>
      <c r="J25" s="39"/>
      <c r="K25" s="37"/>
      <c r="L25" s="39"/>
      <c r="M25" s="37"/>
      <c r="N25" s="1"/>
    </row>
    <row r="26" spans="1:14" ht="21">
      <c r="A26" s="1"/>
      <c r="B26" s="34"/>
      <c r="C26" s="40"/>
      <c r="D26" s="36"/>
      <c r="E26" s="37"/>
      <c r="F26" s="33"/>
      <c r="G26" s="33"/>
      <c r="H26" s="33"/>
      <c r="I26" s="38"/>
      <c r="J26" s="39"/>
      <c r="K26" s="37"/>
      <c r="L26" s="39"/>
      <c r="M26" s="37"/>
      <c r="N26" s="1"/>
    </row>
    <row r="27" spans="1:14" ht="21">
      <c r="A27" s="1"/>
      <c r="B27" s="34"/>
      <c r="C27" s="40"/>
      <c r="D27" s="36"/>
      <c r="E27" s="37"/>
      <c r="F27" s="33"/>
      <c r="G27" s="33"/>
      <c r="H27" s="33"/>
      <c r="I27" s="38"/>
      <c r="J27" s="39"/>
      <c r="K27" s="37"/>
      <c r="L27" s="39"/>
      <c r="M27" s="37"/>
      <c r="N27" s="1"/>
    </row>
    <row r="28" spans="1:14" ht="21">
      <c r="A28" s="1"/>
      <c r="B28" s="34"/>
      <c r="C28" s="40"/>
      <c r="D28" s="36"/>
      <c r="E28" s="37"/>
      <c r="F28" s="33"/>
      <c r="G28" s="33"/>
      <c r="H28" s="33"/>
      <c r="I28" s="38"/>
      <c r="J28" s="39"/>
      <c r="K28" s="37"/>
      <c r="L28" s="39"/>
      <c r="M28" s="37"/>
      <c r="N28" s="1"/>
    </row>
    <row r="29" spans="1:14" ht="21">
      <c r="A29" s="1"/>
      <c r="B29" s="34"/>
      <c r="C29" s="40"/>
      <c r="D29" s="36"/>
      <c r="E29" s="37"/>
      <c r="F29" s="33"/>
      <c r="G29" s="33"/>
      <c r="H29" s="33"/>
      <c r="I29" s="38"/>
      <c r="J29" s="42"/>
      <c r="K29" s="37"/>
      <c r="L29" s="39"/>
      <c r="M29" s="37"/>
      <c r="N29" s="1"/>
    </row>
    <row r="30" spans="1:14" ht="21">
      <c r="A30" s="1"/>
      <c r="B30" s="34"/>
      <c r="C30" s="40"/>
      <c r="D30" s="43"/>
      <c r="E30" s="37"/>
      <c r="F30" s="33"/>
      <c r="G30" s="33"/>
      <c r="H30" s="33"/>
      <c r="I30" s="38"/>
      <c r="J30" s="39"/>
      <c r="K30" s="37"/>
      <c r="L30" s="39"/>
      <c r="M30" s="37"/>
      <c r="N30" s="1"/>
    </row>
    <row r="31" spans="1:14" ht="21">
      <c r="A31" s="1"/>
      <c r="B31" s="34"/>
      <c r="C31" s="40"/>
      <c r="D31" s="43"/>
      <c r="E31" s="37"/>
      <c r="F31" s="33"/>
      <c r="G31" s="33"/>
      <c r="H31" s="33"/>
      <c r="I31" s="38"/>
      <c r="J31" s="39"/>
      <c r="K31" s="37"/>
      <c r="L31" s="39"/>
      <c r="M31" s="37"/>
      <c r="N31" s="1"/>
    </row>
    <row r="32" spans="1:14" ht="21">
      <c r="A32" s="1"/>
      <c r="B32" s="34"/>
      <c r="C32" s="40"/>
      <c r="D32" s="43"/>
      <c r="E32" s="37"/>
      <c r="F32" s="33"/>
      <c r="G32" s="33"/>
      <c r="H32" s="33"/>
      <c r="I32" s="38"/>
      <c r="J32" s="39"/>
      <c r="K32" s="37"/>
      <c r="L32" s="39"/>
      <c r="M32" s="37"/>
      <c r="N32" s="1"/>
    </row>
    <row r="33" spans="1:14" ht="21">
      <c r="A33" s="1"/>
      <c r="B33" s="34"/>
      <c r="C33" s="40"/>
      <c r="D33" s="43"/>
      <c r="E33" s="37"/>
      <c r="F33" s="33"/>
      <c r="G33" s="33"/>
      <c r="H33" s="33"/>
      <c r="I33" s="38"/>
      <c r="J33" s="39"/>
      <c r="K33" s="37"/>
      <c r="L33" s="39"/>
      <c r="M33" s="37"/>
      <c r="N33" s="1"/>
    </row>
    <row r="34" spans="1:14" ht="21">
      <c r="A34" s="1"/>
      <c r="B34" s="34"/>
      <c r="C34" s="40"/>
      <c r="D34" s="43"/>
      <c r="E34" s="37"/>
      <c r="F34" s="33"/>
      <c r="G34" s="33"/>
      <c r="H34" s="33"/>
      <c r="I34" s="38"/>
      <c r="J34" s="39"/>
      <c r="K34" s="37"/>
      <c r="L34" s="39"/>
      <c r="M34" s="37"/>
      <c r="N34" s="1"/>
    </row>
    <row r="35" spans="1:14" ht="21">
      <c r="A35" s="1"/>
      <c r="B35" s="34">
        <v>20</v>
      </c>
      <c r="C35" s="40" t="s">
        <v>117</v>
      </c>
      <c r="D35" s="36">
        <f>SUM(D10:D34)</f>
        <v>100.00000000000001</v>
      </c>
      <c r="E35" s="37" t="s">
        <v>133</v>
      </c>
      <c r="F35" s="33">
        <f>+H34</f>
        <v>0</v>
      </c>
      <c r="G35" s="33">
        <f>+D35+F35</f>
        <v>100.00000000000001</v>
      </c>
      <c r="H35" s="33"/>
      <c r="I35" s="38">
        <f>SUM(I10:I34)</f>
        <v>100</v>
      </c>
      <c r="J35" s="41">
        <f>SUM(J10:J21)</f>
        <v>100.03999999999999</v>
      </c>
      <c r="K35" s="37" t="s">
        <v>133</v>
      </c>
      <c r="L35" s="39">
        <f>SUM(L10:L34)</f>
        <v>400</v>
      </c>
      <c r="M35" s="37" t="s">
        <v>134</v>
      </c>
      <c r="N35" s="1"/>
    </row>
    <row r="36" spans="1:14" ht="21">
      <c r="A36" s="1"/>
      <c r="B36" s="14"/>
      <c r="C36" s="14"/>
      <c r="D36" s="22"/>
      <c r="E36" s="16" t="s">
        <v>2</v>
      </c>
      <c r="F36" s="13"/>
      <c r="G36" s="13"/>
      <c r="H36" s="13"/>
      <c r="I36" s="13"/>
      <c r="J36" s="15"/>
      <c r="K36" s="16"/>
      <c r="L36" s="15" t="s">
        <v>2</v>
      </c>
      <c r="M36" s="23" t="s">
        <v>2</v>
      </c>
      <c r="N36" s="1"/>
    </row>
    <row r="37" spans="1:14" ht="21">
      <c r="A37" s="3"/>
      <c r="B37" s="24"/>
      <c r="C37" s="24"/>
      <c r="D37" s="3"/>
      <c r="E37" s="3"/>
      <c r="F37" s="3"/>
      <c r="G37" s="3"/>
      <c r="H37" s="3"/>
      <c r="I37" s="3"/>
      <c r="J37" s="3"/>
      <c r="K37" s="3"/>
      <c r="L37" s="3"/>
      <c r="M37" s="24"/>
      <c r="N37" s="1"/>
    </row>
    <row r="38" spans="1:14" ht="21">
      <c r="A38" s="1"/>
      <c r="B38" s="25" t="s">
        <v>149</v>
      </c>
      <c r="C38" s="26"/>
      <c r="D38" s="1"/>
      <c r="E38" s="1"/>
      <c r="F38" s="2" t="s">
        <v>150</v>
      </c>
      <c r="G38" s="26"/>
      <c r="H38" s="27" t="s">
        <v>151</v>
      </c>
      <c r="I38"/>
      <c r="J38"/>
      <c r="K38" s="2" t="s">
        <v>152</v>
      </c>
      <c r="L38" s="1"/>
      <c r="M38" s="1"/>
      <c r="N38" s="1"/>
    </row>
    <row r="39" spans="1:14" ht="21">
      <c r="A39" s="1"/>
      <c r="B39" s="28" t="s">
        <v>153</v>
      </c>
      <c r="C39" s="28" t="s">
        <v>154</v>
      </c>
      <c r="D39" s="28"/>
      <c r="E39" s="29"/>
      <c r="F39" s="29"/>
      <c r="G39" s="29"/>
      <c r="H39" s="28" t="s">
        <v>155</v>
      </c>
      <c r="I39"/>
      <c r="J39" s="29"/>
      <c r="K39" s="29"/>
      <c r="L39" s="29"/>
      <c r="M39" s="29"/>
      <c r="N39" s="1"/>
    </row>
    <row r="40" spans="1:14" ht="21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1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1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21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1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2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2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2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2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2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2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2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3" ht="21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21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21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</sheetData>
  <sheetProtection/>
  <printOptions/>
  <pageMargins left="0.67" right="0.2" top="1" bottom="0.56" header="0.5" footer="0.5"/>
  <pageSetup horizontalDpi="180" verticalDpi="18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T39"/>
  <sheetViews>
    <sheetView showGridLines="0" showRowColHeaders="0" showOutlineSymbols="0" zoomScalePageLayoutView="0" workbookViewId="0" topLeftCell="A1">
      <selection activeCell="L5" sqref="L5:M5"/>
    </sheetView>
  </sheetViews>
  <sheetFormatPr defaultColWidth="10.66015625" defaultRowHeight="17.25"/>
  <cols>
    <col min="1" max="1" width="4.33203125" style="138" customWidth="1"/>
    <col min="2" max="2" width="13.33203125" style="138" customWidth="1"/>
    <col min="3" max="3" width="13.33203125" style="137" customWidth="1"/>
    <col min="4" max="8" width="12.66015625" style="138" hidden="1" customWidth="1"/>
    <col min="9" max="11" width="13.83203125" style="137" customWidth="1"/>
    <col min="12" max="12" width="13.83203125" style="138" customWidth="1"/>
    <col min="13" max="14" width="15.33203125" style="138" customWidth="1"/>
    <col min="15" max="15" width="5" style="138" customWidth="1"/>
    <col min="16" max="16" width="0" style="140" hidden="1" customWidth="1"/>
    <col min="17" max="17" width="15.83203125" style="140" hidden="1" customWidth="1"/>
    <col min="18" max="18" width="16.5" style="141" hidden="1" customWidth="1"/>
    <col min="19" max="19" width="13.33203125" style="140" hidden="1" customWidth="1"/>
    <col min="20" max="20" width="0" style="140" hidden="1" customWidth="1"/>
    <col min="21" max="16384" width="10.66015625" style="138" customWidth="1"/>
  </cols>
  <sheetData>
    <row r="1" spans="2:14" ht="16.5" customHeight="1" thickBot="1">
      <c r="B1" s="136"/>
      <c r="N1" s="139" t="s">
        <v>328</v>
      </c>
    </row>
    <row r="2" spans="2:14" ht="21">
      <c r="B2" s="142"/>
      <c r="C2" s="143"/>
      <c r="D2" s="144"/>
      <c r="E2" s="144"/>
      <c r="F2" s="144"/>
      <c r="G2" s="144"/>
      <c r="H2" s="144"/>
      <c r="I2" s="509" t="s">
        <v>329</v>
      </c>
      <c r="J2" s="509"/>
      <c r="K2" s="509"/>
      <c r="L2" s="509"/>
      <c r="M2" s="509"/>
      <c r="N2" s="510"/>
    </row>
    <row r="3" spans="2:14" ht="8.25" customHeight="1">
      <c r="B3" s="145"/>
      <c r="C3" s="14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8"/>
    </row>
    <row r="4" spans="2:19" ht="20.25">
      <c r="B4" s="149"/>
      <c r="C4" s="150"/>
      <c r="D4" s="151"/>
      <c r="E4" s="151"/>
      <c r="F4" s="151"/>
      <c r="G4" s="151"/>
      <c r="H4" s="151"/>
      <c r="I4" s="152"/>
      <c r="J4" s="521" t="s">
        <v>198</v>
      </c>
      <c r="K4" s="521"/>
      <c r="L4" s="522">
        <f>ใบสรุปราคา!H15</f>
        <v>20041374.350199997</v>
      </c>
      <c r="M4" s="522"/>
      <c r="N4" s="153" t="s">
        <v>204</v>
      </c>
      <c r="Q4" s="154"/>
      <c r="R4" s="155"/>
      <c r="S4" s="154"/>
    </row>
    <row r="5" spans="2:19" ht="20.25">
      <c r="B5" s="149"/>
      <c r="C5" s="156"/>
      <c r="D5" s="157"/>
      <c r="E5" s="157"/>
      <c r="F5" s="157"/>
      <c r="G5" s="157"/>
      <c r="H5" s="157"/>
      <c r="I5" s="157"/>
      <c r="J5" s="521" t="s">
        <v>330</v>
      </c>
      <c r="K5" s="521"/>
      <c r="L5" s="523">
        <f>IF(L4=0,0,IF(L4&lt;=1000000,N16,IF(L4=500000000,N38,IF(L4&gt;500000000,N39,S11))))</f>
        <v>1.2211</v>
      </c>
      <c r="M5" s="523"/>
      <c r="N5" s="158"/>
      <c r="Q5" s="154"/>
      <c r="R5" s="155"/>
      <c r="S5" s="154" t="s">
        <v>331</v>
      </c>
    </row>
    <row r="6" spans="2:19" ht="21" customHeight="1">
      <c r="B6" s="518" t="s">
        <v>332</v>
      </c>
      <c r="C6" s="519"/>
      <c r="D6" s="159"/>
      <c r="E6" s="159"/>
      <c r="F6" s="159"/>
      <c r="G6" s="159"/>
      <c r="H6" s="159"/>
      <c r="I6" s="159"/>
      <c r="J6" s="152" t="s">
        <v>333</v>
      </c>
      <c r="K6" s="152"/>
      <c r="L6" s="520">
        <f>ROUND((L5*L4),2)</f>
        <v>24472522.22</v>
      </c>
      <c r="M6" s="520"/>
      <c r="N6" s="153" t="s">
        <v>204</v>
      </c>
      <c r="Q6" s="154" t="s">
        <v>334</v>
      </c>
      <c r="R6" s="160">
        <f>L4/1000000</f>
        <v>20.041374350199998</v>
      </c>
      <c r="S6" s="154"/>
    </row>
    <row r="7" spans="2:19" ht="9" customHeight="1" thickBot="1">
      <c r="B7" s="161"/>
      <c r="C7" s="162"/>
      <c r="D7" s="163"/>
      <c r="E7" s="163"/>
      <c r="F7" s="163"/>
      <c r="G7" s="163"/>
      <c r="H7" s="163"/>
      <c r="I7" s="164"/>
      <c r="J7" s="164"/>
      <c r="K7" s="164"/>
      <c r="L7" s="165"/>
      <c r="M7" s="165"/>
      <c r="N7" s="166"/>
      <c r="Q7" s="154" t="s">
        <v>335</v>
      </c>
      <c r="R7" s="155">
        <f>VLOOKUP(R6,B17:B38,1)</f>
        <v>20</v>
      </c>
      <c r="S7" s="154">
        <f>VLOOKUP(R7,$B$17:$N$38,13,FALSE)</f>
        <v>1.2211</v>
      </c>
    </row>
    <row r="8" spans="2:19" ht="9.75" customHeight="1" thickBot="1"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Q8" s="154" t="s">
        <v>336</v>
      </c>
      <c r="R8" s="167">
        <f>MATCH(R7,B17:B38)</f>
        <v>6</v>
      </c>
      <c r="S8" s="154"/>
    </row>
    <row r="9" spans="2:20" s="168" customFormat="1" ht="22.5" customHeight="1">
      <c r="B9" s="508" t="s">
        <v>337</v>
      </c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10"/>
      <c r="P9" s="169"/>
      <c r="Q9" s="170" t="s">
        <v>338</v>
      </c>
      <c r="R9" s="167">
        <f>R8+1</f>
        <v>7</v>
      </c>
      <c r="S9" s="170"/>
      <c r="T9" s="169"/>
    </row>
    <row r="10" spans="2:19" ht="22.5" customHeight="1">
      <c r="B10" s="145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46"/>
      <c r="O10" s="172"/>
      <c r="Q10" s="154" t="s">
        <v>339</v>
      </c>
      <c r="R10" s="167">
        <f>INDEX(B17:B38,R9)</f>
        <v>25</v>
      </c>
      <c r="S10" s="154">
        <f>VLOOKUP(R10,$B$17:$N$38,13,FALSE)</f>
        <v>1.2155</v>
      </c>
    </row>
    <row r="11" spans="2:19" ht="20.25">
      <c r="B11" s="149" t="s">
        <v>340</v>
      </c>
      <c r="C11" s="173"/>
      <c r="D11" s="174"/>
      <c r="E11" s="174"/>
      <c r="F11" s="174"/>
      <c r="G11" s="174"/>
      <c r="H11" s="174"/>
      <c r="I11" s="175">
        <v>0</v>
      </c>
      <c r="J11" s="173" t="s">
        <v>133</v>
      </c>
      <c r="K11" s="173" t="s">
        <v>197</v>
      </c>
      <c r="L11" s="174"/>
      <c r="M11" s="176">
        <v>6</v>
      </c>
      <c r="N11" s="177" t="s">
        <v>133</v>
      </c>
      <c r="Q11" s="154" t="s">
        <v>341</v>
      </c>
      <c r="R11" s="167"/>
      <c r="S11" s="154">
        <f>ROUND((S7-((S7-S10)*(R6-R7)/(R10-R7))),4)</f>
        <v>1.2211</v>
      </c>
    </row>
    <row r="12" spans="2:19" ht="20.25">
      <c r="B12" s="149" t="s">
        <v>342</v>
      </c>
      <c r="C12" s="173"/>
      <c r="D12" s="174"/>
      <c r="E12" s="174"/>
      <c r="F12" s="174"/>
      <c r="G12" s="174"/>
      <c r="H12" s="174"/>
      <c r="I12" s="175">
        <v>0</v>
      </c>
      <c r="J12" s="173" t="s">
        <v>133</v>
      </c>
      <c r="K12" s="173" t="s">
        <v>343</v>
      </c>
      <c r="L12" s="174"/>
      <c r="M12" s="176">
        <v>7</v>
      </c>
      <c r="N12" s="177" t="s">
        <v>133</v>
      </c>
      <c r="Q12" s="154">
        <v>0</v>
      </c>
      <c r="R12" s="178">
        <v>5</v>
      </c>
      <c r="S12" s="154">
        <v>7</v>
      </c>
    </row>
    <row r="13" spans="2:19" ht="21" thickBot="1">
      <c r="B13" s="161"/>
      <c r="C13" s="179"/>
      <c r="D13" s="180"/>
      <c r="E13" s="180"/>
      <c r="F13" s="180"/>
      <c r="G13" s="180"/>
      <c r="H13" s="180"/>
      <c r="I13" s="179"/>
      <c r="J13" s="179"/>
      <c r="K13" s="179"/>
      <c r="L13" s="180"/>
      <c r="M13" s="179"/>
      <c r="N13" s="181"/>
      <c r="Q13" s="154">
        <v>5</v>
      </c>
      <c r="R13" s="178">
        <v>6</v>
      </c>
      <c r="S13" s="154">
        <v>10</v>
      </c>
    </row>
    <row r="14" spans="2:19" ht="28.5" customHeight="1">
      <c r="B14" s="511" t="s">
        <v>344</v>
      </c>
      <c r="C14" s="513" t="s">
        <v>345</v>
      </c>
      <c r="D14" s="514"/>
      <c r="E14" s="514"/>
      <c r="F14" s="514"/>
      <c r="G14" s="514"/>
      <c r="H14" s="514"/>
      <c r="I14" s="514"/>
      <c r="J14" s="514"/>
      <c r="K14" s="514"/>
      <c r="L14" s="513" t="s">
        <v>346</v>
      </c>
      <c r="M14" s="513" t="s">
        <v>347</v>
      </c>
      <c r="N14" s="516" t="s">
        <v>199</v>
      </c>
      <c r="Q14" s="154">
        <v>10</v>
      </c>
      <c r="R14" s="182">
        <v>7</v>
      </c>
      <c r="S14" s="154"/>
    </row>
    <row r="15" spans="2:19" ht="41.25" customHeight="1" thickBot="1">
      <c r="B15" s="512"/>
      <c r="C15" s="183" t="s">
        <v>348</v>
      </c>
      <c r="D15" s="184" t="s">
        <v>349</v>
      </c>
      <c r="E15" s="184" t="s">
        <v>350</v>
      </c>
      <c r="F15" s="184" t="s">
        <v>351</v>
      </c>
      <c r="G15" s="184" t="s">
        <v>352</v>
      </c>
      <c r="H15" s="184" t="s">
        <v>353</v>
      </c>
      <c r="I15" s="183" t="s">
        <v>354</v>
      </c>
      <c r="J15" s="183" t="s">
        <v>355</v>
      </c>
      <c r="K15" s="183" t="s">
        <v>356</v>
      </c>
      <c r="L15" s="515"/>
      <c r="M15" s="515"/>
      <c r="N15" s="517"/>
      <c r="Q15" s="154">
        <v>15</v>
      </c>
      <c r="R15" s="182">
        <v>8</v>
      </c>
      <c r="S15" s="154"/>
    </row>
    <row r="16" spans="2:19" ht="20.25">
      <c r="B16" s="185" t="s">
        <v>357</v>
      </c>
      <c r="C16" s="186">
        <v>12.266</v>
      </c>
      <c r="D16" s="187">
        <v>6</v>
      </c>
      <c r="E16" s="187">
        <v>3</v>
      </c>
      <c r="F16" s="188">
        <f aca="true" t="shared" si="0" ref="F16:F39">$I$11</f>
        <v>0</v>
      </c>
      <c r="G16" s="188">
        <f aca="true" t="shared" si="1" ref="G16:G39">$I$12</f>
        <v>0</v>
      </c>
      <c r="H16" s="189">
        <f aca="true" t="shared" si="2" ref="H16:H39">$M$11</f>
        <v>6</v>
      </c>
      <c r="I16" s="186">
        <f aca="true" t="shared" si="3" ref="I16:I39">(-1)*(H16/12)*((G16/100)+((D16+E16-1)*(F16/100))-(((F16+G16)/100)*((D16+1)/2))-(E16-1))</f>
        <v>1</v>
      </c>
      <c r="J16" s="186">
        <v>5.5</v>
      </c>
      <c r="K16" s="186">
        <f aca="true" t="shared" si="4" ref="K16:K39">C16+I16+J16</f>
        <v>18.766</v>
      </c>
      <c r="L16" s="190">
        <f aca="true" t="shared" si="5" ref="L16:L39">1+(K16/100)</f>
        <v>1.18766</v>
      </c>
      <c r="M16" s="186">
        <f aca="true" t="shared" si="6" ref="M16:M39">1+($M$12/100)</f>
        <v>1.07</v>
      </c>
      <c r="N16" s="191">
        <f aca="true" t="shared" si="7" ref="N16:N39">ROUND(L16*M16,4)</f>
        <v>1.2708</v>
      </c>
      <c r="Q16" s="154"/>
      <c r="R16" s="178">
        <v>9</v>
      </c>
      <c r="S16" s="154"/>
    </row>
    <row r="17" spans="2:19" ht="20.25">
      <c r="B17" s="192">
        <v>1</v>
      </c>
      <c r="C17" s="193">
        <v>12.266</v>
      </c>
      <c r="D17" s="194">
        <v>6</v>
      </c>
      <c r="E17" s="194">
        <v>3</v>
      </c>
      <c r="F17" s="195">
        <f t="shared" si="0"/>
        <v>0</v>
      </c>
      <c r="G17" s="195">
        <f t="shared" si="1"/>
        <v>0</v>
      </c>
      <c r="H17" s="196">
        <f t="shared" si="2"/>
        <v>6</v>
      </c>
      <c r="I17" s="193">
        <f t="shared" si="3"/>
        <v>1</v>
      </c>
      <c r="J17" s="193">
        <v>5.5</v>
      </c>
      <c r="K17" s="193">
        <f t="shared" si="4"/>
        <v>18.766</v>
      </c>
      <c r="L17" s="197">
        <f t="shared" si="5"/>
        <v>1.18766</v>
      </c>
      <c r="M17" s="193">
        <f t="shared" si="6"/>
        <v>1.07</v>
      </c>
      <c r="N17" s="198">
        <f t="shared" si="7"/>
        <v>1.2708</v>
      </c>
      <c r="Q17" s="154"/>
      <c r="R17" s="178">
        <v>10</v>
      </c>
      <c r="S17" s="154"/>
    </row>
    <row r="18" spans="2:14" ht="20.25">
      <c r="B18" s="192">
        <v>2</v>
      </c>
      <c r="C18" s="193">
        <v>12.0383</v>
      </c>
      <c r="D18" s="194">
        <v>9</v>
      </c>
      <c r="E18" s="194">
        <v>3</v>
      </c>
      <c r="F18" s="195">
        <f t="shared" si="0"/>
        <v>0</v>
      </c>
      <c r="G18" s="195">
        <f t="shared" si="1"/>
        <v>0</v>
      </c>
      <c r="H18" s="196">
        <f t="shared" si="2"/>
        <v>6</v>
      </c>
      <c r="I18" s="193">
        <f t="shared" si="3"/>
        <v>1</v>
      </c>
      <c r="J18" s="193">
        <v>5.5</v>
      </c>
      <c r="K18" s="193">
        <f t="shared" si="4"/>
        <v>18.5383</v>
      </c>
      <c r="L18" s="197">
        <f t="shared" si="5"/>
        <v>1.185383</v>
      </c>
      <c r="M18" s="193">
        <f t="shared" si="6"/>
        <v>1.07</v>
      </c>
      <c r="N18" s="198">
        <f t="shared" si="7"/>
        <v>1.2684</v>
      </c>
    </row>
    <row r="19" spans="2:14" ht="20.25">
      <c r="B19" s="192">
        <v>5</v>
      </c>
      <c r="C19" s="193">
        <v>11.94</v>
      </c>
      <c r="D19" s="194">
        <v>12</v>
      </c>
      <c r="E19" s="194">
        <v>3</v>
      </c>
      <c r="F19" s="195">
        <f t="shared" si="0"/>
        <v>0</v>
      </c>
      <c r="G19" s="195">
        <f t="shared" si="1"/>
        <v>0</v>
      </c>
      <c r="H19" s="196">
        <f t="shared" si="2"/>
        <v>6</v>
      </c>
      <c r="I19" s="193">
        <f t="shared" si="3"/>
        <v>1</v>
      </c>
      <c r="J19" s="193">
        <v>5.5</v>
      </c>
      <c r="K19" s="193">
        <f t="shared" si="4"/>
        <v>18.439999999999998</v>
      </c>
      <c r="L19" s="197">
        <f t="shared" si="5"/>
        <v>1.1844</v>
      </c>
      <c r="M19" s="193">
        <f t="shared" si="6"/>
        <v>1.07</v>
      </c>
      <c r="N19" s="198">
        <f t="shared" si="7"/>
        <v>1.2673</v>
      </c>
    </row>
    <row r="20" spans="2:14" ht="20.25">
      <c r="B20" s="192">
        <v>10</v>
      </c>
      <c r="C20" s="193">
        <v>11.7523</v>
      </c>
      <c r="D20" s="194">
        <v>15</v>
      </c>
      <c r="E20" s="194">
        <v>3</v>
      </c>
      <c r="F20" s="195">
        <f t="shared" si="0"/>
        <v>0</v>
      </c>
      <c r="G20" s="195">
        <f t="shared" si="1"/>
        <v>0</v>
      </c>
      <c r="H20" s="196">
        <f t="shared" si="2"/>
        <v>6</v>
      </c>
      <c r="I20" s="193">
        <f t="shared" si="3"/>
        <v>1</v>
      </c>
      <c r="J20" s="193">
        <v>5</v>
      </c>
      <c r="K20" s="193">
        <f t="shared" si="4"/>
        <v>17.752299999999998</v>
      </c>
      <c r="L20" s="197">
        <f t="shared" si="5"/>
        <v>1.1775229999999999</v>
      </c>
      <c r="M20" s="193">
        <f t="shared" si="6"/>
        <v>1.07</v>
      </c>
      <c r="N20" s="198">
        <f t="shared" si="7"/>
        <v>1.2599</v>
      </c>
    </row>
    <row r="21" spans="2:14" ht="20.25">
      <c r="B21" s="192">
        <v>15</v>
      </c>
      <c r="C21" s="193">
        <v>8.1313</v>
      </c>
      <c r="D21" s="194">
        <v>15</v>
      </c>
      <c r="E21" s="194">
        <v>3</v>
      </c>
      <c r="F21" s="195">
        <f t="shared" si="0"/>
        <v>0</v>
      </c>
      <c r="G21" s="195">
        <f t="shared" si="1"/>
        <v>0</v>
      </c>
      <c r="H21" s="196">
        <f t="shared" si="2"/>
        <v>6</v>
      </c>
      <c r="I21" s="193">
        <f t="shared" si="3"/>
        <v>1</v>
      </c>
      <c r="J21" s="193">
        <v>5</v>
      </c>
      <c r="K21" s="193">
        <f t="shared" si="4"/>
        <v>14.1313</v>
      </c>
      <c r="L21" s="197">
        <f t="shared" si="5"/>
        <v>1.141313</v>
      </c>
      <c r="M21" s="193">
        <f t="shared" si="6"/>
        <v>1.07</v>
      </c>
      <c r="N21" s="198">
        <f t="shared" si="7"/>
        <v>1.2212</v>
      </c>
    </row>
    <row r="22" spans="2:14" ht="20.25">
      <c r="B22" s="192">
        <v>20</v>
      </c>
      <c r="C22" s="193">
        <v>8.1223</v>
      </c>
      <c r="D22" s="194">
        <v>16</v>
      </c>
      <c r="E22" s="194">
        <v>3</v>
      </c>
      <c r="F22" s="195">
        <f t="shared" si="0"/>
        <v>0</v>
      </c>
      <c r="G22" s="195">
        <f t="shared" si="1"/>
        <v>0</v>
      </c>
      <c r="H22" s="196">
        <f t="shared" si="2"/>
        <v>6</v>
      </c>
      <c r="I22" s="193">
        <f t="shared" si="3"/>
        <v>1</v>
      </c>
      <c r="J22" s="193">
        <v>5</v>
      </c>
      <c r="K22" s="193">
        <f t="shared" si="4"/>
        <v>14.1223</v>
      </c>
      <c r="L22" s="197">
        <f t="shared" si="5"/>
        <v>1.141223</v>
      </c>
      <c r="M22" s="193">
        <f t="shared" si="6"/>
        <v>1.07</v>
      </c>
      <c r="N22" s="198">
        <f t="shared" si="7"/>
        <v>1.2211</v>
      </c>
    </row>
    <row r="23" spans="2:14" ht="20.25">
      <c r="B23" s="192">
        <v>25</v>
      </c>
      <c r="C23" s="193">
        <v>8.1006</v>
      </c>
      <c r="D23" s="194">
        <v>16</v>
      </c>
      <c r="E23" s="194">
        <v>3</v>
      </c>
      <c r="F23" s="195">
        <f t="shared" si="0"/>
        <v>0</v>
      </c>
      <c r="G23" s="195">
        <f t="shared" si="1"/>
        <v>0</v>
      </c>
      <c r="H23" s="196">
        <f t="shared" si="2"/>
        <v>6</v>
      </c>
      <c r="I23" s="193">
        <f t="shared" si="3"/>
        <v>1</v>
      </c>
      <c r="J23" s="193">
        <v>4.5</v>
      </c>
      <c r="K23" s="193">
        <f t="shared" si="4"/>
        <v>13.6006</v>
      </c>
      <c r="L23" s="197">
        <f t="shared" si="5"/>
        <v>1.136006</v>
      </c>
      <c r="M23" s="193">
        <f t="shared" si="6"/>
        <v>1.07</v>
      </c>
      <c r="N23" s="198">
        <f t="shared" si="7"/>
        <v>1.2155</v>
      </c>
    </row>
    <row r="24" spans="2:14" ht="20.25">
      <c r="B24" s="192">
        <v>30</v>
      </c>
      <c r="C24" s="193">
        <v>7.4491</v>
      </c>
      <c r="D24" s="194">
        <v>17</v>
      </c>
      <c r="E24" s="194">
        <v>3</v>
      </c>
      <c r="F24" s="195">
        <f t="shared" si="0"/>
        <v>0</v>
      </c>
      <c r="G24" s="195">
        <f t="shared" si="1"/>
        <v>0</v>
      </c>
      <c r="H24" s="196">
        <f t="shared" si="2"/>
        <v>6</v>
      </c>
      <c r="I24" s="193">
        <f t="shared" si="3"/>
        <v>1</v>
      </c>
      <c r="J24" s="193">
        <v>4.5</v>
      </c>
      <c r="K24" s="193">
        <f t="shared" si="4"/>
        <v>12.9491</v>
      </c>
      <c r="L24" s="197">
        <f t="shared" si="5"/>
        <v>1.129491</v>
      </c>
      <c r="M24" s="193">
        <f t="shared" si="6"/>
        <v>1.07</v>
      </c>
      <c r="N24" s="198">
        <f t="shared" si="7"/>
        <v>1.2086</v>
      </c>
    </row>
    <row r="25" spans="2:14" ht="20.25">
      <c r="B25" s="192">
        <v>40</v>
      </c>
      <c r="C25" s="193">
        <v>7.225</v>
      </c>
      <c r="D25" s="194">
        <v>17</v>
      </c>
      <c r="E25" s="194">
        <v>3</v>
      </c>
      <c r="F25" s="195">
        <f t="shared" si="0"/>
        <v>0</v>
      </c>
      <c r="G25" s="195">
        <f t="shared" si="1"/>
        <v>0</v>
      </c>
      <c r="H25" s="196">
        <f t="shared" si="2"/>
        <v>6</v>
      </c>
      <c r="I25" s="193">
        <f t="shared" si="3"/>
        <v>1</v>
      </c>
      <c r="J25" s="193">
        <v>4.5</v>
      </c>
      <c r="K25" s="193">
        <f t="shared" si="4"/>
        <v>12.725</v>
      </c>
      <c r="L25" s="197">
        <f t="shared" si="5"/>
        <v>1.12725</v>
      </c>
      <c r="M25" s="193">
        <f t="shared" si="6"/>
        <v>1.07</v>
      </c>
      <c r="N25" s="198">
        <f t="shared" si="7"/>
        <v>1.2062</v>
      </c>
    </row>
    <row r="26" spans="2:14" ht="20.25">
      <c r="B26" s="192">
        <v>50</v>
      </c>
      <c r="C26" s="193">
        <v>7.2202</v>
      </c>
      <c r="D26" s="194">
        <v>18</v>
      </c>
      <c r="E26" s="194">
        <v>3</v>
      </c>
      <c r="F26" s="195">
        <f t="shared" si="0"/>
        <v>0</v>
      </c>
      <c r="G26" s="195">
        <f t="shared" si="1"/>
        <v>0</v>
      </c>
      <c r="H26" s="196">
        <f t="shared" si="2"/>
        <v>6</v>
      </c>
      <c r="I26" s="193">
        <f t="shared" si="3"/>
        <v>1</v>
      </c>
      <c r="J26" s="193">
        <v>4.5</v>
      </c>
      <c r="K26" s="193">
        <f t="shared" si="4"/>
        <v>12.7202</v>
      </c>
      <c r="L26" s="197">
        <f t="shared" si="5"/>
        <v>1.127202</v>
      </c>
      <c r="M26" s="193">
        <f t="shared" si="6"/>
        <v>1.07</v>
      </c>
      <c r="N26" s="198">
        <f t="shared" si="7"/>
        <v>1.2061</v>
      </c>
    </row>
    <row r="27" spans="2:14" ht="20.25">
      <c r="B27" s="192">
        <v>60</v>
      </c>
      <c r="C27" s="193">
        <v>6.7961</v>
      </c>
      <c r="D27" s="194">
        <v>18</v>
      </c>
      <c r="E27" s="194">
        <v>3</v>
      </c>
      <c r="F27" s="195">
        <f t="shared" si="0"/>
        <v>0</v>
      </c>
      <c r="G27" s="195">
        <f t="shared" si="1"/>
        <v>0</v>
      </c>
      <c r="H27" s="196">
        <f t="shared" si="2"/>
        <v>6</v>
      </c>
      <c r="I27" s="193">
        <f t="shared" si="3"/>
        <v>1</v>
      </c>
      <c r="J27" s="193">
        <v>4</v>
      </c>
      <c r="K27" s="193">
        <f t="shared" si="4"/>
        <v>11.7961</v>
      </c>
      <c r="L27" s="197">
        <f t="shared" si="5"/>
        <v>1.117961</v>
      </c>
      <c r="M27" s="193">
        <f t="shared" si="6"/>
        <v>1.07</v>
      </c>
      <c r="N27" s="198">
        <f t="shared" si="7"/>
        <v>1.1962</v>
      </c>
    </row>
    <row r="28" spans="2:14" ht="20.25">
      <c r="B28" s="192">
        <v>70</v>
      </c>
      <c r="C28" s="193">
        <v>6.7758</v>
      </c>
      <c r="D28" s="194">
        <v>20</v>
      </c>
      <c r="E28" s="194">
        <v>3</v>
      </c>
      <c r="F28" s="195">
        <f t="shared" si="0"/>
        <v>0</v>
      </c>
      <c r="G28" s="195">
        <f t="shared" si="1"/>
        <v>0</v>
      </c>
      <c r="H28" s="196">
        <f t="shared" si="2"/>
        <v>6</v>
      </c>
      <c r="I28" s="193">
        <f t="shared" si="3"/>
        <v>1</v>
      </c>
      <c r="J28" s="193">
        <v>4</v>
      </c>
      <c r="K28" s="193">
        <f t="shared" si="4"/>
        <v>11.7758</v>
      </c>
      <c r="L28" s="197">
        <f t="shared" si="5"/>
        <v>1.117758</v>
      </c>
      <c r="M28" s="193">
        <f t="shared" si="6"/>
        <v>1.07</v>
      </c>
      <c r="N28" s="198">
        <f t="shared" si="7"/>
        <v>1.196</v>
      </c>
    </row>
    <row r="29" spans="2:14" ht="20.25">
      <c r="B29" s="192">
        <v>80</v>
      </c>
      <c r="C29" s="193">
        <v>6.7758</v>
      </c>
      <c r="D29" s="194">
        <v>20</v>
      </c>
      <c r="E29" s="194">
        <v>3</v>
      </c>
      <c r="F29" s="195">
        <f t="shared" si="0"/>
        <v>0</v>
      </c>
      <c r="G29" s="195">
        <f t="shared" si="1"/>
        <v>0</v>
      </c>
      <c r="H29" s="196">
        <f t="shared" si="2"/>
        <v>6</v>
      </c>
      <c r="I29" s="193">
        <f t="shared" si="3"/>
        <v>1</v>
      </c>
      <c r="J29" s="193">
        <v>4</v>
      </c>
      <c r="K29" s="193">
        <f t="shared" si="4"/>
        <v>11.7758</v>
      </c>
      <c r="L29" s="197">
        <f t="shared" si="5"/>
        <v>1.117758</v>
      </c>
      <c r="M29" s="193">
        <f t="shared" si="6"/>
        <v>1.07</v>
      </c>
      <c r="N29" s="198">
        <f t="shared" si="7"/>
        <v>1.196</v>
      </c>
    </row>
    <row r="30" spans="2:14" ht="20.25">
      <c r="B30" s="192">
        <v>90</v>
      </c>
      <c r="C30" s="193">
        <v>6.5412</v>
      </c>
      <c r="D30" s="194">
        <v>20</v>
      </c>
      <c r="E30" s="194">
        <v>3</v>
      </c>
      <c r="F30" s="195">
        <f t="shared" si="0"/>
        <v>0</v>
      </c>
      <c r="G30" s="195">
        <f t="shared" si="1"/>
        <v>0</v>
      </c>
      <c r="H30" s="196">
        <f t="shared" si="2"/>
        <v>6</v>
      </c>
      <c r="I30" s="193">
        <f t="shared" si="3"/>
        <v>1</v>
      </c>
      <c r="J30" s="193">
        <v>4</v>
      </c>
      <c r="K30" s="193">
        <f t="shared" si="4"/>
        <v>11.5412</v>
      </c>
      <c r="L30" s="197">
        <f t="shared" si="5"/>
        <v>1.115412</v>
      </c>
      <c r="M30" s="193">
        <f t="shared" si="6"/>
        <v>1.07</v>
      </c>
      <c r="N30" s="198">
        <f t="shared" si="7"/>
        <v>1.1935</v>
      </c>
    </row>
    <row r="31" spans="2:14" ht="20.25">
      <c r="B31" s="192">
        <v>100</v>
      </c>
      <c r="C31" s="193">
        <v>6.5412</v>
      </c>
      <c r="D31" s="194">
        <v>20</v>
      </c>
      <c r="E31" s="194">
        <v>3</v>
      </c>
      <c r="F31" s="195">
        <f t="shared" si="0"/>
        <v>0</v>
      </c>
      <c r="G31" s="195">
        <f t="shared" si="1"/>
        <v>0</v>
      </c>
      <c r="H31" s="196">
        <f t="shared" si="2"/>
        <v>6</v>
      </c>
      <c r="I31" s="193">
        <f t="shared" si="3"/>
        <v>1</v>
      </c>
      <c r="J31" s="193">
        <v>4</v>
      </c>
      <c r="K31" s="193">
        <f t="shared" si="4"/>
        <v>11.5412</v>
      </c>
      <c r="L31" s="197">
        <f t="shared" si="5"/>
        <v>1.115412</v>
      </c>
      <c r="M31" s="193">
        <f t="shared" si="6"/>
        <v>1.07</v>
      </c>
      <c r="N31" s="198">
        <f t="shared" si="7"/>
        <v>1.1935</v>
      </c>
    </row>
    <row r="32" spans="2:14" ht="20.25">
      <c r="B32" s="192">
        <v>150</v>
      </c>
      <c r="C32" s="193">
        <v>6.533</v>
      </c>
      <c r="D32" s="194">
        <v>22</v>
      </c>
      <c r="E32" s="194">
        <v>3</v>
      </c>
      <c r="F32" s="195">
        <f t="shared" si="0"/>
        <v>0</v>
      </c>
      <c r="G32" s="195">
        <f t="shared" si="1"/>
        <v>0</v>
      </c>
      <c r="H32" s="196">
        <f t="shared" si="2"/>
        <v>6</v>
      </c>
      <c r="I32" s="193">
        <f t="shared" si="3"/>
        <v>1</v>
      </c>
      <c r="J32" s="193">
        <v>4</v>
      </c>
      <c r="K32" s="193">
        <f t="shared" si="4"/>
        <v>11.533000000000001</v>
      </c>
      <c r="L32" s="197">
        <f t="shared" si="5"/>
        <v>1.11533</v>
      </c>
      <c r="M32" s="193">
        <f t="shared" si="6"/>
        <v>1.07</v>
      </c>
      <c r="N32" s="198">
        <f t="shared" si="7"/>
        <v>1.1934</v>
      </c>
    </row>
    <row r="33" spans="2:14" ht="20.25">
      <c r="B33" s="192">
        <v>200</v>
      </c>
      <c r="C33" s="193">
        <v>6.5224</v>
      </c>
      <c r="D33" s="194">
        <v>24</v>
      </c>
      <c r="E33" s="194">
        <v>3</v>
      </c>
      <c r="F33" s="195">
        <f t="shared" si="0"/>
        <v>0</v>
      </c>
      <c r="G33" s="195">
        <f t="shared" si="1"/>
        <v>0</v>
      </c>
      <c r="H33" s="196">
        <f t="shared" si="2"/>
        <v>6</v>
      </c>
      <c r="I33" s="193">
        <f t="shared" si="3"/>
        <v>1</v>
      </c>
      <c r="J33" s="193">
        <v>4</v>
      </c>
      <c r="K33" s="193">
        <f t="shared" si="4"/>
        <v>11.522400000000001</v>
      </c>
      <c r="L33" s="197">
        <f t="shared" si="5"/>
        <v>1.115224</v>
      </c>
      <c r="M33" s="193">
        <f t="shared" si="6"/>
        <v>1.07</v>
      </c>
      <c r="N33" s="198">
        <f t="shared" si="7"/>
        <v>1.1933</v>
      </c>
    </row>
    <row r="34" spans="2:14" ht="20.25">
      <c r="B34" s="192">
        <v>250</v>
      </c>
      <c r="C34" s="193">
        <v>6.2711</v>
      </c>
      <c r="D34" s="194">
        <v>28</v>
      </c>
      <c r="E34" s="194">
        <v>3</v>
      </c>
      <c r="F34" s="195">
        <f t="shared" si="0"/>
        <v>0</v>
      </c>
      <c r="G34" s="195">
        <f t="shared" si="1"/>
        <v>0</v>
      </c>
      <c r="H34" s="196">
        <f t="shared" si="2"/>
        <v>6</v>
      </c>
      <c r="I34" s="193">
        <f t="shared" si="3"/>
        <v>1</v>
      </c>
      <c r="J34" s="193">
        <v>4</v>
      </c>
      <c r="K34" s="193">
        <f t="shared" si="4"/>
        <v>11.2711</v>
      </c>
      <c r="L34" s="197">
        <f t="shared" si="5"/>
        <v>1.112711</v>
      </c>
      <c r="M34" s="193">
        <f t="shared" si="6"/>
        <v>1.07</v>
      </c>
      <c r="N34" s="198">
        <f t="shared" si="7"/>
        <v>1.1906</v>
      </c>
    </row>
    <row r="35" spans="2:14" ht="20.25">
      <c r="B35" s="192">
        <v>300</v>
      </c>
      <c r="C35" s="193">
        <v>6.2679</v>
      </c>
      <c r="D35" s="194">
        <v>30</v>
      </c>
      <c r="E35" s="194">
        <v>3</v>
      </c>
      <c r="F35" s="195">
        <f t="shared" si="0"/>
        <v>0</v>
      </c>
      <c r="G35" s="195">
        <f t="shared" si="1"/>
        <v>0</v>
      </c>
      <c r="H35" s="196">
        <f t="shared" si="2"/>
        <v>6</v>
      </c>
      <c r="I35" s="193">
        <f t="shared" si="3"/>
        <v>1</v>
      </c>
      <c r="J35" s="193">
        <v>3.5</v>
      </c>
      <c r="K35" s="193">
        <f t="shared" si="4"/>
        <v>10.767900000000001</v>
      </c>
      <c r="L35" s="197">
        <f t="shared" si="5"/>
        <v>1.107679</v>
      </c>
      <c r="M35" s="193">
        <f t="shared" si="6"/>
        <v>1.07</v>
      </c>
      <c r="N35" s="198">
        <f t="shared" si="7"/>
        <v>1.1852</v>
      </c>
    </row>
    <row r="36" spans="2:14" ht="20.25">
      <c r="B36" s="192">
        <v>350</v>
      </c>
      <c r="C36" s="193">
        <v>6.1909</v>
      </c>
      <c r="D36" s="194">
        <v>32</v>
      </c>
      <c r="E36" s="194">
        <v>3</v>
      </c>
      <c r="F36" s="195">
        <f t="shared" si="0"/>
        <v>0</v>
      </c>
      <c r="G36" s="195">
        <f t="shared" si="1"/>
        <v>0</v>
      </c>
      <c r="H36" s="196">
        <f t="shared" si="2"/>
        <v>6</v>
      </c>
      <c r="I36" s="193">
        <f t="shared" si="3"/>
        <v>1</v>
      </c>
      <c r="J36" s="193">
        <v>3.5</v>
      </c>
      <c r="K36" s="193">
        <f t="shared" si="4"/>
        <v>10.6909</v>
      </c>
      <c r="L36" s="197">
        <f t="shared" si="5"/>
        <v>1.106909</v>
      </c>
      <c r="M36" s="193">
        <f t="shared" si="6"/>
        <v>1.07</v>
      </c>
      <c r="N36" s="198">
        <f t="shared" si="7"/>
        <v>1.1844</v>
      </c>
    </row>
    <row r="37" spans="2:14" ht="20.25">
      <c r="B37" s="192">
        <v>400</v>
      </c>
      <c r="C37" s="193">
        <v>6.1658</v>
      </c>
      <c r="D37" s="194">
        <v>36</v>
      </c>
      <c r="E37" s="194">
        <v>3</v>
      </c>
      <c r="F37" s="195">
        <f t="shared" si="0"/>
        <v>0</v>
      </c>
      <c r="G37" s="195">
        <f t="shared" si="1"/>
        <v>0</v>
      </c>
      <c r="H37" s="196">
        <f t="shared" si="2"/>
        <v>6</v>
      </c>
      <c r="I37" s="193">
        <f t="shared" si="3"/>
        <v>1</v>
      </c>
      <c r="J37" s="193">
        <v>3.5</v>
      </c>
      <c r="K37" s="193">
        <f t="shared" si="4"/>
        <v>10.6658</v>
      </c>
      <c r="L37" s="197">
        <f t="shared" si="5"/>
        <v>1.106658</v>
      </c>
      <c r="M37" s="193">
        <f t="shared" si="6"/>
        <v>1.07</v>
      </c>
      <c r="N37" s="198">
        <f t="shared" si="7"/>
        <v>1.1841</v>
      </c>
    </row>
    <row r="38" spans="2:14" ht="20.25">
      <c r="B38" s="192">
        <v>500</v>
      </c>
      <c r="C38" s="193">
        <v>6.1658</v>
      </c>
      <c r="D38" s="194">
        <v>36</v>
      </c>
      <c r="E38" s="194">
        <v>3</v>
      </c>
      <c r="F38" s="195">
        <f t="shared" si="0"/>
        <v>0</v>
      </c>
      <c r="G38" s="195">
        <f t="shared" si="1"/>
        <v>0</v>
      </c>
      <c r="H38" s="196">
        <f t="shared" si="2"/>
        <v>6</v>
      </c>
      <c r="I38" s="193">
        <f t="shared" si="3"/>
        <v>1</v>
      </c>
      <c r="J38" s="193">
        <v>3.5</v>
      </c>
      <c r="K38" s="193">
        <f t="shared" si="4"/>
        <v>10.6658</v>
      </c>
      <c r="L38" s="197">
        <f t="shared" si="5"/>
        <v>1.106658</v>
      </c>
      <c r="M38" s="193">
        <f t="shared" si="6"/>
        <v>1.07</v>
      </c>
      <c r="N38" s="198">
        <f t="shared" si="7"/>
        <v>1.1841</v>
      </c>
    </row>
    <row r="39" spans="2:14" ht="21" thickBot="1">
      <c r="B39" s="199" t="s">
        <v>358</v>
      </c>
      <c r="C39" s="200">
        <v>5.5503</v>
      </c>
      <c r="D39" s="201">
        <v>40</v>
      </c>
      <c r="E39" s="201">
        <v>3</v>
      </c>
      <c r="F39" s="202">
        <f t="shared" si="0"/>
        <v>0</v>
      </c>
      <c r="G39" s="202">
        <f t="shared" si="1"/>
        <v>0</v>
      </c>
      <c r="H39" s="203">
        <f t="shared" si="2"/>
        <v>6</v>
      </c>
      <c r="I39" s="200">
        <f t="shared" si="3"/>
        <v>1</v>
      </c>
      <c r="J39" s="200">
        <v>3.5</v>
      </c>
      <c r="K39" s="200">
        <f t="shared" si="4"/>
        <v>10.0503</v>
      </c>
      <c r="L39" s="204">
        <f t="shared" si="5"/>
        <v>1.100503</v>
      </c>
      <c r="M39" s="200">
        <f t="shared" si="6"/>
        <v>1.07</v>
      </c>
      <c r="N39" s="205">
        <f t="shared" si="7"/>
        <v>1.1775</v>
      </c>
    </row>
  </sheetData>
  <sheetProtection password="87BD" sheet="1" objects="1" scenarios="1"/>
  <mergeCells count="14">
    <mergeCell ref="B6:C6"/>
    <mergeCell ref="L6:M6"/>
    <mergeCell ref="I2:N2"/>
    <mergeCell ref="J4:K4"/>
    <mergeCell ref="L4:M4"/>
    <mergeCell ref="J5:K5"/>
    <mergeCell ref="L5:M5"/>
    <mergeCell ref="B8:N8"/>
    <mergeCell ref="B9:N9"/>
    <mergeCell ref="B14:B15"/>
    <mergeCell ref="C14:K14"/>
    <mergeCell ref="L14:L15"/>
    <mergeCell ref="M14:M15"/>
    <mergeCell ref="N14:N15"/>
  </mergeCells>
  <dataValidations count="5">
    <dataValidation type="list" allowBlank="1" showInputMessage="1" showErrorMessage="1" sqref="M12">
      <formula1>$S$12:$S$13</formula1>
    </dataValidation>
    <dataValidation type="list" allowBlank="1" showInputMessage="1" showErrorMessage="1" sqref="I12">
      <formula1>$Q$12:$Q$14</formula1>
    </dataValidation>
    <dataValidation type="decimal" operator="greaterThanOrEqual" allowBlank="1" showInputMessage="1" showErrorMessage="1" promptTitle="ค่างานต้นทุน" prompt="ใส่ค่างานต้นทุน (ค่าวัสดุ+ค่าแรง)&#10;ซึ่งยังไม่รวมค่า ภาษี กำไร ค่าดำเนินการ" errorTitle="ค่างานต้นทุน" error="ใส่ตัวเลขเท่านั้นครับ" sqref="L4:M4">
      <formula1>0</formula1>
    </dataValidation>
    <dataValidation type="list" allowBlank="1" showInputMessage="1" showErrorMessage="1" sqref="I11">
      <formula1>$Q$12:$Q$15</formula1>
    </dataValidation>
    <dataValidation type="list" allowBlank="1" showInputMessage="1" showErrorMessage="1" sqref="M11">
      <formula1>$R$13:$R$15</formula1>
    </dataValidation>
  </dataValidations>
  <hyperlinks>
    <hyperlink ref="B6" r:id="rId1" display="www.yotathai.net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เปลี่ยนแปลงรั้วกระทรวง</dc:title>
  <dc:subject/>
  <dc:creator>DESIGN &amp; CONSTRUCTION DEVISION</dc:creator>
  <cp:keywords/>
  <dc:description/>
  <cp:lastModifiedBy>Corporate Edition</cp:lastModifiedBy>
  <cp:lastPrinted>2016-10-25T04:27:10Z</cp:lastPrinted>
  <dcterms:created xsi:type="dcterms:W3CDTF">2002-09-02T06:44:42Z</dcterms:created>
  <dcterms:modified xsi:type="dcterms:W3CDTF">2016-10-25T06:21:14Z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